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1100" windowHeight="8640" tabRatio="751"/>
  </bookViews>
  <sheets>
    <sheet name="Mártély összesen" sheetId="1" r:id="rId1"/>
    <sheet name="1. melléklet - Önkormányzat" sheetId="2" r:id="rId2"/>
    <sheet name="2. sz. melléklet - Gondozási Kp" sheetId="4" r:id="rId3"/>
    <sheet name="3. sz. melléklet - ÁMK" sheetId="5" r:id="rId4"/>
    <sheet name="4. sz. melléklet - Normatíva" sheetId="9" r:id="rId5"/>
    <sheet name="Előirányzat felhasználás" sheetId="6" state="hidden" r:id="rId6"/>
    <sheet name="Pályázatok" sheetId="8" state="hidden" r:id="rId7"/>
    <sheet name="Hitelek" sheetId="10" state="hidden" r:id="rId8"/>
    <sheet name="Gördített tervezet" sheetId="13" state="hidden" r:id="rId9"/>
    <sheet name="MÁK határozat" sheetId="11" state="hidden" r:id="rId10"/>
    <sheet name="Mártély ingatlan vagyon" sheetId="12" state="hidden" r:id="rId11"/>
  </sheets>
  <externalReferences>
    <externalReference r:id="rId12"/>
  </externalReferences>
  <definedNames>
    <definedName name="_xlnm.Print_Titles" localSheetId="1">'1. melléklet - Önkormányzat'!$1:$6</definedName>
    <definedName name="_xlnm.Print_Titles" localSheetId="2">'2. sz. melléklet - Gondozási Kp'!$5:$10</definedName>
    <definedName name="_xlnm.Print_Titles" localSheetId="3">'3. sz. melléklet - ÁMK'!$1:$6</definedName>
    <definedName name="_xlnm.Print_Titles" localSheetId="4">'4. sz. melléklet - Normatíva'!$1:$3</definedName>
    <definedName name="_xlnm.Print_Titles" localSheetId="0">'Mártély összesen'!$1:$6</definedName>
    <definedName name="_xlnm.Print_Area" localSheetId="1">'1. melléklet - Önkormányzat'!$A$1:$U$404</definedName>
    <definedName name="_xlnm.Print_Area" localSheetId="2">'2. sz. melléklet - Gondozási Kp'!$A$1:$U$94</definedName>
    <definedName name="_xlnm.Print_Area" localSheetId="3">'3. sz. melléklet - ÁMK'!$A$1:$U$160</definedName>
    <definedName name="_xlnm.Print_Area" localSheetId="4">'4. sz. melléklet - Normatíva'!$A$1:$F$64</definedName>
    <definedName name="_xlnm.Print_Area" localSheetId="0">'Mártély összesen'!$A$1:$T$209</definedName>
  </definedNames>
  <calcPr calcId="124519"/>
</workbook>
</file>

<file path=xl/calcChain.xml><?xml version="1.0" encoding="utf-8"?>
<calcChain xmlns="http://schemas.openxmlformats.org/spreadsheetml/2006/main">
  <c r="L77" i="1"/>
  <c r="M77"/>
  <c r="N77"/>
  <c r="O77"/>
  <c r="P77"/>
  <c r="Q77"/>
  <c r="R77"/>
  <c r="L85"/>
  <c r="T91" i="4"/>
  <c r="S77" i="1" s="1"/>
  <c r="P162" i="5"/>
  <c r="R396" i="2"/>
  <c r="F79" i="1"/>
  <c r="F81"/>
  <c r="F87" s="1"/>
  <c r="H81"/>
  <c r="J81"/>
  <c r="F80"/>
  <c r="J80"/>
  <c r="Q45"/>
  <c r="S45"/>
  <c r="S154" s="1"/>
  <c r="T138" i="2"/>
  <c r="K173"/>
  <c r="T18" i="5"/>
  <c r="T30"/>
  <c r="T37"/>
  <c r="T49"/>
  <c r="T55"/>
  <c r="T75"/>
  <c r="T95"/>
  <c r="T107"/>
  <c r="T127"/>
  <c r="T137"/>
  <c r="K17"/>
  <c r="K16"/>
  <c r="K95"/>
  <c r="K82"/>
  <c r="K63"/>
  <c r="K55"/>
  <c r="K49"/>
  <c r="K30"/>
  <c r="W154"/>
  <c r="W159"/>
  <c r="K15"/>
  <c r="K14"/>
  <c r="K132"/>
  <c r="K137"/>
  <c r="K107"/>
  <c r="K75"/>
  <c r="K117"/>
  <c r="K127"/>
  <c r="V146"/>
  <c r="V150"/>
  <c r="V147"/>
  <c r="W160"/>
  <c r="K54" i="2"/>
  <c r="J37" i="1" s="1"/>
  <c r="K382" i="2"/>
  <c r="K48"/>
  <c r="K57" s="1"/>
  <c r="K381"/>
  <c r="K163"/>
  <c r="K165"/>
  <c r="K384"/>
  <c r="K254"/>
  <c r="L54"/>
  <c r="J369"/>
  <c r="K272"/>
  <c r="K106"/>
  <c r="K75"/>
  <c r="K20"/>
  <c r="T30" i="4"/>
  <c r="T88"/>
  <c r="T87"/>
  <c r="U18"/>
  <c r="U32"/>
  <c r="U91"/>
  <c r="T77" i="1" s="1"/>
  <c r="T64" i="4"/>
  <c r="T58"/>
  <c r="T49"/>
  <c r="T36"/>
  <c r="T24"/>
  <c r="K83"/>
  <c r="K82"/>
  <c r="K81"/>
  <c r="W387" i="2"/>
  <c r="W386"/>
  <c r="W382"/>
  <c r="W390"/>
  <c r="L367"/>
  <c r="L369"/>
  <c r="M49" i="1"/>
  <c r="N49"/>
  <c r="O49"/>
  <c r="P49"/>
  <c r="Q49"/>
  <c r="R49"/>
  <c r="S49"/>
  <c r="L49"/>
  <c r="M32"/>
  <c r="M201" s="1"/>
  <c r="O32"/>
  <c r="Q32"/>
  <c r="S32"/>
  <c r="L32"/>
  <c r="L142" s="1"/>
  <c r="S22"/>
  <c r="S21"/>
  <c r="W398" i="2"/>
  <c r="T399"/>
  <c r="T398"/>
  <c r="U147"/>
  <c r="T49" i="1"/>
  <c r="M392" i="2"/>
  <c r="N392"/>
  <c r="P392"/>
  <c r="R392"/>
  <c r="M393"/>
  <c r="N393"/>
  <c r="P393"/>
  <c r="R393"/>
  <c r="M394"/>
  <c r="N394"/>
  <c r="P394"/>
  <c r="R394"/>
  <c r="M395"/>
  <c r="N395"/>
  <c r="P395"/>
  <c r="M396"/>
  <c r="N396"/>
  <c r="P396"/>
  <c r="M397"/>
  <c r="N397"/>
  <c r="O397"/>
  <c r="P397"/>
  <c r="Q397"/>
  <c r="R397"/>
  <c r="M398"/>
  <c r="N398"/>
  <c r="P398"/>
  <c r="R398"/>
  <c r="M399"/>
  <c r="P399"/>
  <c r="R399"/>
  <c r="M400"/>
  <c r="N400"/>
  <c r="P400"/>
  <c r="R400"/>
  <c r="M401"/>
  <c r="N401"/>
  <c r="O401"/>
  <c r="P401"/>
  <c r="Q401"/>
  <c r="R401"/>
  <c r="M402"/>
  <c r="M404" s="1"/>
  <c r="N402"/>
  <c r="P402"/>
  <c r="P404" s="1"/>
  <c r="R402"/>
  <c r="M403"/>
  <c r="N403"/>
  <c r="P403"/>
  <c r="R403"/>
  <c r="S401"/>
  <c r="T392"/>
  <c r="T393"/>
  <c r="T394"/>
  <c r="T396"/>
  <c r="T397"/>
  <c r="T400"/>
  <c r="T401"/>
  <c r="U401"/>
  <c r="T402"/>
  <c r="T403"/>
  <c r="U127"/>
  <c r="T129"/>
  <c r="T136"/>
  <c r="U133"/>
  <c r="U134"/>
  <c r="O125"/>
  <c r="Q125"/>
  <c r="S125" s="1"/>
  <c r="U125" s="1"/>
  <c r="R129"/>
  <c r="R136"/>
  <c r="R395"/>
  <c r="W395"/>
  <c r="W396"/>
  <c r="X148"/>
  <c r="U70"/>
  <c r="T21" i="1"/>
  <c r="U71" i="2"/>
  <c r="T22" i="1"/>
  <c r="U138" i="2"/>
  <c r="U139"/>
  <c r="T150" i="1"/>
  <c r="S150"/>
  <c r="T143"/>
  <c r="S143"/>
  <c r="S112"/>
  <c r="S111"/>
  <c r="S109"/>
  <c r="S108"/>
  <c r="S201" s="1"/>
  <c r="T105"/>
  <c r="S105"/>
  <c r="S95"/>
  <c r="S94"/>
  <c r="S93"/>
  <c r="S86"/>
  <c r="S85"/>
  <c r="S76"/>
  <c r="S198" s="1"/>
  <c r="S75"/>
  <c r="T59"/>
  <c r="T167" s="1"/>
  <c r="S59"/>
  <c r="S167" s="1"/>
  <c r="S58"/>
  <c r="S206" s="1"/>
  <c r="S51"/>
  <c r="S204"/>
  <c r="S50"/>
  <c r="S158"/>
  <c r="S48"/>
  <c r="S157"/>
  <c r="S47"/>
  <c r="T46"/>
  <c r="T155" s="1"/>
  <c r="S46"/>
  <c r="S155" s="1"/>
  <c r="S203"/>
  <c r="S42"/>
  <c r="S152"/>
  <c r="S35"/>
  <c r="S23"/>
  <c r="S131" s="1"/>
  <c r="S20"/>
  <c r="S130" s="1"/>
  <c r="S19"/>
  <c r="S129"/>
  <c r="S18"/>
  <c r="S128" s="1"/>
  <c r="S17"/>
  <c r="S127" s="1"/>
  <c r="S16"/>
  <c r="S15"/>
  <c r="S125" s="1"/>
  <c r="S13"/>
  <c r="S123" s="1"/>
  <c r="S12"/>
  <c r="S122" s="1"/>
  <c r="S11"/>
  <c r="K114"/>
  <c r="J114"/>
  <c r="K103"/>
  <c r="J103"/>
  <c r="K102"/>
  <c r="J102"/>
  <c r="J100"/>
  <c r="J99"/>
  <c r="J98"/>
  <c r="K88"/>
  <c r="J88"/>
  <c r="J82"/>
  <c r="J70"/>
  <c r="J180" s="1"/>
  <c r="J69"/>
  <c r="K66"/>
  <c r="J66"/>
  <c r="J64"/>
  <c r="J192" s="1"/>
  <c r="J63"/>
  <c r="J61"/>
  <c r="J56"/>
  <c r="J164" s="1"/>
  <c r="K55"/>
  <c r="K163" s="1"/>
  <c r="J55"/>
  <c r="J163" s="1"/>
  <c r="K54"/>
  <c r="K162" s="1"/>
  <c r="J54"/>
  <c r="J190" s="1"/>
  <c r="J53"/>
  <c r="J161" s="1"/>
  <c r="J38"/>
  <c r="J149" s="1"/>
  <c r="J30"/>
  <c r="J140" s="1"/>
  <c r="J29"/>
  <c r="J139" s="1"/>
  <c r="J28"/>
  <c r="J138" s="1"/>
  <c r="J27"/>
  <c r="J137" s="1"/>
  <c r="J26"/>
  <c r="J136" s="1"/>
  <c r="S126"/>
  <c r="S145"/>
  <c r="S141" i="2"/>
  <c r="U141"/>
  <c r="S142"/>
  <c r="U142"/>
  <c r="U397" s="1"/>
  <c r="X397" s="1"/>
  <c r="S397"/>
  <c r="S143"/>
  <c r="U143" s="1"/>
  <c r="S144"/>
  <c r="U144" s="1"/>
  <c r="X401"/>
  <c r="T369"/>
  <c r="T360"/>
  <c r="T330"/>
  <c r="T313"/>
  <c r="U303"/>
  <c r="T303"/>
  <c r="T287"/>
  <c r="T217"/>
  <c r="T208"/>
  <c r="T197"/>
  <c r="T190"/>
  <c r="T166"/>
  <c r="T106"/>
  <c r="T75"/>
  <c r="T57"/>
  <c r="T32"/>
  <c r="T26"/>
  <c r="K388"/>
  <c r="K387"/>
  <c r="K385"/>
  <c r="K383"/>
  <c r="K360"/>
  <c r="L303"/>
  <c r="L75"/>
  <c r="K380"/>
  <c r="K379"/>
  <c r="K13"/>
  <c r="T159" i="5"/>
  <c r="T158"/>
  <c r="U156"/>
  <c r="T156"/>
  <c r="T155"/>
  <c r="T154"/>
  <c r="T153"/>
  <c r="T63"/>
  <c r="T141" s="1"/>
  <c r="K147"/>
  <c r="K148"/>
  <c r="K149"/>
  <c r="K150"/>
  <c r="L150"/>
  <c r="L63"/>
  <c r="T93" i="4"/>
  <c r="T92"/>
  <c r="T72"/>
  <c r="T75" s="1"/>
  <c r="U58"/>
  <c r="K72"/>
  <c r="K49"/>
  <c r="K36"/>
  <c r="K24"/>
  <c r="I48" i="2"/>
  <c r="I47"/>
  <c r="I46"/>
  <c r="I379"/>
  <c r="I388"/>
  <c r="I387"/>
  <c r="I386"/>
  <c r="I385"/>
  <c r="I384"/>
  <c r="I360"/>
  <c r="I53"/>
  <c r="I21" i="4"/>
  <c r="H80" i="1" s="1"/>
  <c r="I20" i="4"/>
  <c r="R87"/>
  <c r="R88"/>
  <c r="R92"/>
  <c r="R93"/>
  <c r="I83"/>
  <c r="I82"/>
  <c r="I72"/>
  <c r="I58"/>
  <c r="I49"/>
  <c r="I36"/>
  <c r="G80"/>
  <c r="G81"/>
  <c r="G82"/>
  <c r="G83"/>
  <c r="R159" i="5"/>
  <c r="R156"/>
  <c r="R158"/>
  <c r="R155"/>
  <c r="R154"/>
  <c r="R153"/>
  <c r="G36" i="4"/>
  <c r="G49"/>
  <c r="G58"/>
  <c r="G72"/>
  <c r="G24"/>
  <c r="I380" i="2"/>
  <c r="I171"/>
  <c r="I389" s="1"/>
  <c r="R63" i="5"/>
  <c r="R141" s="1"/>
  <c r="R72" i="4"/>
  <c r="R75" s="1"/>
  <c r="J44" i="2"/>
  <c r="L44" s="1"/>
  <c r="J45"/>
  <c r="L45" s="1"/>
  <c r="S131"/>
  <c r="U131" s="1"/>
  <c r="S132"/>
  <c r="U132" s="1"/>
  <c r="F54" i="9"/>
  <c r="R150" i="1"/>
  <c r="Q150"/>
  <c r="R143"/>
  <c r="Q143"/>
  <c r="Q112"/>
  <c r="Q111"/>
  <c r="Q109"/>
  <c r="Q108"/>
  <c r="R105"/>
  <c r="Q105"/>
  <c r="Q95"/>
  <c r="Q94"/>
  <c r="Q93"/>
  <c r="Q113" s="1"/>
  <c r="Q86"/>
  <c r="Q85"/>
  <c r="Q76"/>
  <c r="Q75"/>
  <c r="Q87" s="1"/>
  <c r="R59"/>
  <c r="R167" s="1"/>
  <c r="Q59"/>
  <c r="Q206" s="1"/>
  <c r="Q58"/>
  <c r="Q166" s="1"/>
  <c r="Q51"/>
  <c r="Q204" s="1"/>
  <c r="Q50"/>
  <c r="Q158" s="1"/>
  <c r="Q48"/>
  <c r="Q157" s="1"/>
  <c r="Q47"/>
  <c r="R46"/>
  <c r="R155" s="1"/>
  <c r="Q46"/>
  <c r="Q155" s="1"/>
  <c r="Q42"/>
  <c r="Q152" s="1"/>
  <c r="R35"/>
  <c r="Q35"/>
  <c r="Q145" s="1"/>
  <c r="Q23"/>
  <c r="Q131" s="1"/>
  <c r="Q20"/>
  <c r="Q130" s="1"/>
  <c r="Q19"/>
  <c r="Q129" s="1"/>
  <c r="Q18"/>
  <c r="Q128" s="1"/>
  <c r="Q17"/>
  <c r="Q16"/>
  <c r="Q126" s="1"/>
  <c r="Q15"/>
  <c r="Q125" s="1"/>
  <c r="Q13"/>
  <c r="Q123" s="1"/>
  <c r="Q12"/>
  <c r="Q122" s="1"/>
  <c r="Q11"/>
  <c r="Q197" s="1"/>
  <c r="G48" i="2"/>
  <c r="G381" s="1"/>
  <c r="G390" s="1"/>
  <c r="P406" s="1"/>
  <c r="P407" s="1"/>
  <c r="G49"/>
  <c r="I114" i="1"/>
  <c r="H114"/>
  <c r="I103"/>
  <c r="H103"/>
  <c r="I102"/>
  <c r="H102"/>
  <c r="H100"/>
  <c r="H99"/>
  <c r="H98"/>
  <c r="H97"/>
  <c r="I88"/>
  <c r="H88"/>
  <c r="H179" s="1"/>
  <c r="H82"/>
  <c r="H70"/>
  <c r="H180" s="1"/>
  <c r="H69"/>
  <c r="I66"/>
  <c r="H66"/>
  <c r="H64"/>
  <c r="H192" s="1"/>
  <c r="H63"/>
  <c r="H62"/>
  <c r="H191" s="1"/>
  <c r="H61"/>
  <c r="H56"/>
  <c r="H164" s="1"/>
  <c r="I55"/>
  <c r="I163" s="1"/>
  <c r="H55"/>
  <c r="H163" s="1"/>
  <c r="I54"/>
  <c r="I162" s="1"/>
  <c r="H54"/>
  <c r="H162" s="1"/>
  <c r="H53"/>
  <c r="H161" s="1"/>
  <c r="H38"/>
  <c r="H188" s="1"/>
  <c r="H37"/>
  <c r="H187" s="1"/>
  <c r="H30"/>
  <c r="H189" s="1"/>
  <c r="H29"/>
  <c r="H139" s="1"/>
  <c r="H28"/>
  <c r="H138" s="1"/>
  <c r="H27"/>
  <c r="H137"/>
  <c r="H26"/>
  <c r="H136"/>
  <c r="S156" i="5"/>
  <c r="J150"/>
  <c r="J63"/>
  <c r="H72" i="4"/>
  <c r="S58"/>
  <c r="R369" i="2"/>
  <c r="R360"/>
  <c r="R330"/>
  <c r="R313"/>
  <c r="S303"/>
  <c r="R303"/>
  <c r="R287"/>
  <c r="R217"/>
  <c r="R208"/>
  <c r="R197"/>
  <c r="R190"/>
  <c r="R166"/>
  <c r="R106"/>
  <c r="R75"/>
  <c r="R57"/>
  <c r="R32"/>
  <c r="R26"/>
  <c r="I383"/>
  <c r="I382"/>
  <c r="J303"/>
  <c r="J75"/>
  <c r="I13"/>
  <c r="H193" i="1"/>
  <c r="Q159"/>
  <c r="Q156"/>
  <c r="Q142"/>
  <c r="H147"/>
  <c r="G382" i="2"/>
  <c r="E381"/>
  <c r="P143" i="1"/>
  <c r="G389" i="2"/>
  <c r="E383"/>
  <c r="G383"/>
  <c r="Q140"/>
  <c r="S140"/>
  <c r="F37" i="9"/>
  <c r="O45" i="1"/>
  <c r="P360" i="2"/>
  <c r="P369"/>
  <c r="P330"/>
  <c r="P313"/>
  <c r="P303"/>
  <c r="P287"/>
  <c r="P217"/>
  <c r="P208"/>
  <c r="P197"/>
  <c r="P190"/>
  <c r="P166"/>
  <c r="P106"/>
  <c r="P75"/>
  <c r="P32"/>
  <c r="P26"/>
  <c r="P136"/>
  <c r="O24" i="1" s="1"/>
  <c r="O132"/>
  <c r="O20"/>
  <c r="O130" s="1"/>
  <c r="O11"/>
  <c r="O197" s="1"/>
  <c r="P150"/>
  <c r="P105"/>
  <c r="P59"/>
  <c r="P167"/>
  <c r="P46"/>
  <c r="P155"/>
  <c r="P35"/>
  <c r="P145"/>
  <c r="O150"/>
  <c r="O112"/>
  <c r="O111"/>
  <c r="O109"/>
  <c r="O202" s="1"/>
  <c r="O108"/>
  <c r="O105"/>
  <c r="O95"/>
  <c r="O94"/>
  <c r="O93"/>
  <c r="O86"/>
  <c r="O85"/>
  <c r="O208"/>
  <c r="O76"/>
  <c r="O75"/>
  <c r="O87" s="1"/>
  <c r="O176" s="1"/>
  <c r="O59"/>
  <c r="O167"/>
  <c r="O58"/>
  <c r="O166"/>
  <c r="O51"/>
  <c r="O204"/>
  <c r="O50"/>
  <c r="O158"/>
  <c r="O48"/>
  <c r="O157"/>
  <c r="O47"/>
  <c r="O46"/>
  <c r="O155" s="1"/>
  <c r="O35"/>
  <c r="O145" s="1"/>
  <c r="O143"/>
  <c r="O23"/>
  <c r="O131"/>
  <c r="O19"/>
  <c r="O129"/>
  <c r="O18"/>
  <c r="O128"/>
  <c r="O17"/>
  <c r="O127"/>
  <c r="O16"/>
  <c r="O13"/>
  <c r="O123" s="1"/>
  <c r="O12"/>
  <c r="O122" s="1"/>
  <c r="Q303" i="2"/>
  <c r="Q58" i="4"/>
  <c r="P141" i="5"/>
  <c r="Q156"/>
  <c r="H150"/>
  <c r="H63"/>
  <c r="F98" i="1"/>
  <c r="F113" s="1"/>
  <c r="G114"/>
  <c r="G103"/>
  <c r="G102"/>
  <c r="G88"/>
  <c r="G66"/>
  <c r="G55"/>
  <c r="G54"/>
  <c r="F114"/>
  <c r="F103"/>
  <c r="F102"/>
  <c r="F100"/>
  <c r="F88"/>
  <c r="F82"/>
  <c r="F70"/>
  <c r="F180" s="1"/>
  <c r="F69"/>
  <c r="F179" s="1"/>
  <c r="F66"/>
  <c r="F64"/>
  <c r="F192" s="1"/>
  <c r="F63"/>
  <c r="F62"/>
  <c r="F61"/>
  <c r="F169" s="1"/>
  <c r="F56"/>
  <c r="F193" s="1"/>
  <c r="F55"/>
  <c r="F163" s="1"/>
  <c r="F54"/>
  <c r="F162" s="1"/>
  <c r="F53"/>
  <c r="F39"/>
  <c r="F194" s="1"/>
  <c r="F38"/>
  <c r="F149" s="1"/>
  <c r="F37"/>
  <c r="F30"/>
  <c r="F140" s="1"/>
  <c r="F27"/>
  <c r="F137" s="1"/>
  <c r="F26"/>
  <c r="F136" s="1"/>
  <c r="H369" i="2"/>
  <c r="H303"/>
  <c r="H75"/>
  <c r="G13"/>
  <c r="O15" i="1"/>
  <c r="O125" s="1"/>
  <c r="O126"/>
  <c r="F97"/>
  <c r="F99"/>
  <c r="F161"/>
  <c r="F164"/>
  <c r="F29"/>
  <c r="F139" s="1"/>
  <c r="O135" i="2"/>
  <c r="Q135"/>
  <c r="O130"/>
  <c r="Q130"/>
  <c r="S130" s="1"/>
  <c r="U130" s="1"/>
  <c r="F108" i="5"/>
  <c r="H108"/>
  <c r="J108" s="1"/>
  <c r="L108" s="1"/>
  <c r="L11" i="1"/>
  <c r="L197" s="1"/>
  <c r="M11"/>
  <c r="L12"/>
  <c r="L122" s="1"/>
  <c r="M12"/>
  <c r="M122" s="1"/>
  <c r="L13"/>
  <c r="L123" s="1"/>
  <c r="M13"/>
  <c r="M123" s="1"/>
  <c r="L15"/>
  <c r="M15"/>
  <c r="M125" s="1"/>
  <c r="L16"/>
  <c r="L126" s="1"/>
  <c r="M16"/>
  <c r="M126"/>
  <c r="L17"/>
  <c r="M17"/>
  <c r="M199" s="1"/>
  <c r="L18"/>
  <c r="L128"/>
  <c r="M18"/>
  <c r="M128"/>
  <c r="L19"/>
  <c r="M19"/>
  <c r="M129" s="1"/>
  <c r="L20"/>
  <c r="M20"/>
  <c r="M130" s="1"/>
  <c r="L23"/>
  <c r="M23"/>
  <c r="M131" s="1"/>
  <c r="C26"/>
  <c r="D26"/>
  <c r="D136" s="1"/>
  <c r="C27"/>
  <c r="C185" s="1"/>
  <c r="D27"/>
  <c r="D137" s="1"/>
  <c r="C28"/>
  <c r="D28"/>
  <c r="D138" s="1"/>
  <c r="C29"/>
  <c r="C139" s="1"/>
  <c r="D29"/>
  <c r="D139" s="1"/>
  <c r="C30"/>
  <c r="C140" s="1"/>
  <c r="D30"/>
  <c r="D140" s="1"/>
  <c r="L33"/>
  <c r="M33"/>
  <c r="M143"/>
  <c r="N33"/>
  <c r="N143"/>
  <c r="L35"/>
  <c r="M35"/>
  <c r="M145" s="1"/>
  <c r="N35"/>
  <c r="N145" s="1"/>
  <c r="C37"/>
  <c r="C38"/>
  <c r="D38"/>
  <c r="D149" s="1"/>
  <c r="C39"/>
  <c r="L42"/>
  <c r="M42"/>
  <c r="M152" s="1"/>
  <c r="L45"/>
  <c r="L203" s="1"/>
  <c r="M45"/>
  <c r="M203"/>
  <c r="L46"/>
  <c r="M46"/>
  <c r="M155" s="1"/>
  <c r="N46"/>
  <c r="N155" s="1"/>
  <c r="L47"/>
  <c r="M47"/>
  <c r="M156"/>
  <c r="L48"/>
  <c r="L50"/>
  <c r="L158" s="1"/>
  <c r="M50"/>
  <c r="M158"/>
  <c r="L51"/>
  <c r="L159"/>
  <c r="M51"/>
  <c r="M159"/>
  <c r="C53"/>
  <c r="D53"/>
  <c r="D161" s="1"/>
  <c r="C54"/>
  <c r="D54"/>
  <c r="D162" s="1"/>
  <c r="E54"/>
  <c r="E162" s="1"/>
  <c r="C55"/>
  <c r="C190" s="1"/>
  <c r="D55"/>
  <c r="D163" s="1"/>
  <c r="E55"/>
  <c r="E163" s="1"/>
  <c r="C56"/>
  <c r="D56"/>
  <c r="D164" s="1"/>
  <c r="L58"/>
  <c r="M58"/>
  <c r="M166" s="1"/>
  <c r="L59"/>
  <c r="L167" s="1"/>
  <c r="M59"/>
  <c r="M167" s="1"/>
  <c r="N59"/>
  <c r="N167" s="1"/>
  <c r="C61"/>
  <c r="D61"/>
  <c r="C62"/>
  <c r="C63"/>
  <c r="C191" s="1"/>
  <c r="D63"/>
  <c r="C64"/>
  <c r="C170" s="1"/>
  <c r="C66"/>
  <c r="D66"/>
  <c r="E66"/>
  <c r="C69"/>
  <c r="C179" s="1"/>
  <c r="D69"/>
  <c r="D70"/>
  <c r="D180" s="1"/>
  <c r="L75"/>
  <c r="L87" s="1"/>
  <c r="M75"/>
  <c r="L76"/>
  <c r="M76"/>
  <c r="C79"/>
  <c r="C184" s="1"/>
  <c r="D79"/>
  <c r="C80"/>
  <c r="D80"/>
  <c r="C81"/>
  <c r="D81"/>
  <c r="C82"/>
  <c r="D82"/>
  <c r="M85"/>
  <c r="L86"/>
  <c r="M86"/>
  <c r="M207" s="1"/>
  <c r="C88"/>
  <c r="D88"/>
  <c r="E88"/>
  <c r="L93"/>
  <c r="L113" s="1"/>
  <c r="M93"/>
  <c r="L94"/>
  <c r="M94"/>
  <c r="L95"/>
  <c r="M95"/>
  <c r="C97"/>
  <c r="D97"/>
  <c r="C98"/>
  <c r="C99"/>
  <c r="C100"/>
  <c r="D100"/>
  <c r="C102"/>
  <c r="D102"/>
  <c r="E102"/>
  <c r="C103"/>
  <c r="D103"/>
  <c r="E103"/>
  <c r="L105"/>
  <c r="M105"/>
  <c r="N105"/>
  <c r="L108"/>
  <c r="M108"/>
  <c r="L109"/>
  <c r="L202" s="1"/>
  <c r="M109"/>
  <c r="L111"/>
  <c r="L112"/>
  <c r="M112"/>
  <c r="C114"/>
  <c r="D114"/>
  <c r="E114"/>
  <c r="L150"/>
  <c r="M150"/>
  <c r="N150"/>
  <c r="L204"/>
  <c r="M142"/>
  <c r="D189"/>
  <c r="C136"/>
  <c r="L208"/>
  <c r="F312" i="2"/>
  <c r="H312" s="1"/>
  <c r="J312" s="1"/>
  <c r="L312" s="1"/>
  <c r="E163"/>
  <c r="D62" i="1" s="1"/>
  <c r="F279" i="2"/>
  <c r="H279" s="1"/>
  <c r="J279" s="1"/>
  <c r="L279" s="1"/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D722"/>
  <c r="E722"/>
  <c r="G722"/>
  <c r="F8" i="11"/>
  <c r="F11"/>
  <c r="F9"/>
  <c r="F16"/>
  <c r="C9" i="13"/>
  <c r="C19"/>
  <c r="D9"/>
  <c r="D19"/>
  <c r="E9"/>
  <c r="E19"/>
  <c r="C33"/>
  <c r="D33"/>
  <c r="E33"/>
  <c r="E6" i="10"/>
  <c r="E7"/>
  <c r="C8"/>
  <c r="D8"/>
  <c r="E13"/>
  <c r="E15" s="1"/>
  <c r="E14"/>
  <c r="C15"/>
  <c r="D15"/>
  <c r="D11" i="8"/>
  <c r="E11"/>
  <c r="N4" i="6"/>
  <c r="N5"/>
  <c r="N6"/>
  <c r="N7"/>
  <c r="N8"/>
  <c r="N9"/>
  <c r="N10"/>
  <c r="N11"/>
  <c r="N12"/>
  <c r="B13"/>
  <c r="C13"/>
  <c r="D13"/>
  <c r="E13"/>
  <c r="F13"/>
  <c r="G13"/>
  <c r="H13"/>
  <c r="I13"/>
  <c r="J13"/>
  <c r="K13"/>
  <c r="L13"/>
  <c r="M13"/>
  <c r="N17"/>
  <c r="N18"/>
  <c r="N19"/>
  <c r="N20"/>
  <c r="N21"/>
  <c r="N22"/>
  <c r="N23"/>
  <c r="N24"/>
  <c r="N25"/>
  <c r="N26"/>
  <c r="B27"/>
  <c r="C27"/>
  <c r="D27"/>
  <c r="E27"/>
  <c r="F27"/>
  <c r="G27"/>
  <c r="H27"/>
  <c r="I27"/>
  <c r="J27"/>
  <c r="K27"/>
  <c r="L27"/>
  <c r="M27"/>
  <c r="F11" i="9"/>
  <c r="F16"/>
  <c r="F20"/>
  <c r="F21"/>
  <c r="F22"/>
  <c r="F23"/>
  <c r="F29"/>
  <c r="F30"/>
  <c r="F31"/>
  <c r="F32"/>
  <c r="F33"/>
  <c r="F36"/>
  <c r="F42"/>
  <c r="C43"/>
  <c r="D43"/>
  <c r="E43"/>
  <c r="F43"/>
  <c r="F58"/>
  <c r="F63"/>
  <c r="I74"/>
  <c r="O11" i="5"/>
  <c r="Q11" s="1"/>
  <c r="O12"/>
  <c r="Q12" s="1"/>
  <c r="S12" s="1"/>
  <c r="F14"/>
  <c r="H14" s="1"/>
  <c r="F15"/>
  <c r="H15" s="1"/>
  <c r="J15" s="1"/>
  <c r="F16"/>
  <c r="H16" s="1"/>
  <c r="J16" s="1"/>
  <c r="F17"/>
  <c r="H17" s="1"/>
  <c r="D18"/>
  <c r="E18"/>
  <c r="M18"/>
  <c r="N18"/>
  <c r="O23"/>
  <c r="Q23" s="1"/>
  <c r="O24"/>
  <c r="Q24" s="1"/>
  <c r="S24" s="1"/>
  <c r="U24" s="1"/>
  <c r="F28"/>
  <c r="H28" s="1"/>
  <c r="F29"/>
  <c r="H29" s="1"/>
  <c r="J29" s="1"/>
  <c r="L29" s="1"/>
  <c r="D30"/>
  <c r="D140" s="1"/>
  <c r="E30"/>
  <c r="M30"/>
  <c r="N30"/>
  <c r="O35"/>
  <c r="O36"/>
  <c r="Q36" s="1"/>
  <c r="M37"/>
  <c r="N37"/>
  <c r="O42"/>
  <c r="O43"/>
  <c r="Q43"/>
  <c r="F47"/>
  <c r="F48"/>
  <c r="H48" s="1"/>
  <c r="J48" s="1"/>
  <c r="L48" s="1"/>
  <c r="D49"/>
  <c r="E49"/>
  <c r="M49"/>
  <c r="N49"/>
  <c r="F53"/>
  <c r="F55" s="1"/>
  <c r="O53"/>
  <c r="Q53" s="1"/>
  <c r="F54"/>
  <c r="H54" s="1"/>
  <c r="J54" s="1"/>
  <c r="L54" s="1"/>
  <c r="O54"/>
  <c r="Q54" s="1"/>
  <c r="S54" s="1"/>
  <c r="U54" s="1"/>
  <c r="D55"/>
  <c r="E55"/>
  <c r="M55"/>
  <c r="N55"/>
  <c r="N141" s="1"/>
  <c r="N60"/>
  <c r="N63"/>
  <c r="O61"/>
  <c r="Q61"/>
  <c r="S61" s="1"/>
  <c r="U61" s="1"/>
  <c r="O62"/>
  <c r="Q62"/>
  <c r="Q158" s="1"/>
  <c r="N112" i="1"/>
  <c r="D63" i="5"/>
  <c r="E63"/>
  <c r="F63"/>
  <c r="M63"/>
  <c r="F68"/>
  <c r="H68"/>
  <c r="F69"/>
  <c r="H69"/>
  <c r="J69" s="1"/>
  <c r="L69" s="1"/>
  <c r="E70"/>
  <c r="F70"/>
  <c r="H70" s="1"/>
  <c r="F71"/>
  <c r="H71" s="1"/>
  <c r="J71" s="1"/>
  <c r="L71" s="1"/>
  <c r="O73"/>
  <c r="Q73"/>
  <c r="O74"/>
  <c r="D75"/>
  <c r="M75"/>
  <c r="N75"/>
  <c r="F80"/>
  <c r="H80"/>
  <c r="F81"/>
  <c r="H81"/>
  <c r="J81" s="1"/>
  <c r="L81" s="1"/>
  <c r="D82"/>
  <c r="E82"/>
  <c r="O87"/>
  <c r="O88"/>
  <c r="Q88" s="1"/>
  <c r="S88" s="1"/>
  <c r="U88" s="1"/>
  <c r="O89"/>
  <c r="Q89" s="1"/>
  <c r="N95" i="1"/>
  <c r="N113" s="1"/>
  <c r="F93" i="5"/>
  <c r="F94"/>
  <c r="H94" s="1"/>
  <c r="J94" s="1"/>
  <c r="L94" s="1"/>
  <c r="D95"/>
  <c r="E95"/>
  <c r="M95"/>
  <c r="N95"/>
  <c r="O100"/>
  <c r="Q100" s="1"/>
  <c r="O101"/>
  <c r="F103"/>
  <c r="E104"/>
  <c r="E107"/>
  <c r="F105"/>
  <c r="H105"/>
  <c r="J105" s="1"/>
  <c r="L105" s="1"/>
  <c r="F106"/>
  <c r="H106"/>
  <c r="J106" s="1"/>
  <c r="L106" s="1"/>
  <c r="D107"/>
  <c r="M107"/>
  <c r="N107"/>
  <c r="O112"/>
  <c r="Q112" s="1"/>
  <c r="O113"/>
  <c r="Q113" s="1"/>
  <c r="S113" s="1"/>
  <c r="O114"/>
  <c r="Q114" s="1"/>
  <c r="S114" s="1"/>
  <c r="U114" s="1"/>
  <c r="O115"/>
  <c r="F117"/>
  <c r="H117"/>
  <c r="F118"/>
  <c r="H118"/>
  <c r="J118" s="1"/>
  <c r="L118" s="1"/>
  <c r="F119"/>
  <c r="H119"/>
  <c r="J119" s="1"/>
  <c r="L119" s="1"/>
  <c r="F120"/>
  <c r="H120"/>
  <c r="J120" s="1"/>
  <c r="L120" s="1"/>
  <c r="D127"/>
  <c r="E127"/>
  <c r="M127"/>
  <c r="N127"/>
  <c r="F132"/>
  <c r="F133"/>
  <c r="H133" s="1"/>
  <c r="J133" s="1"/>
  <c r="L133" s="1"/>
  <c r="O136"/>
  <c r="Q136" s="1"/>
  <c r="D137"/>
  <c r="E137"/>
  <c r="M137"/>
  <c r="N137"/>
  <c r="D146"/>
  <c r="E146"/>
  <c r="D147"/>
  <c r="D148"/>
  <c r="D149"/>
  <c r="E149"/>
  <c r="D150"/>
  <c r="E150"/>
  <c r="F150"/>
  <c r="M153"/>
  <c r="N153"/>
  <c r="M154"/>
  <c r="N154"/>
  <c r="M155"/>
  <c r="N155"/>
  <c r="M156"/>
  <c r="N156"/>
  <c r="O156"/>
  <c r="M158"/>
  <c r="N158"/>
  <c r="M159"/>
  <c r="O15" i="4"/>
  <c r="F20"/>
  <c r="F21"/>
  <c r="F22"/>
  <c r="H22" s="1"/>
  <c r="J22" s="1"/>
  <c r="I81" i="1" s="1"/>
  <c r="F23" i="4"/>
  <c r="D24"/>
  <c r="E24"/>
  <c r="M24"/>
  <c r="N24"/>
  <c r="N75" s="1"/>
  <c r="O29"/>
  <c r="Q29" s="1"/>
  <c r="S29" s="1"/>
  <c r="O30"/>
  <c r="Q30" s="1"/>
  <c r="S30" s="1"/>
  <c r="U30" s="1"/>
  <c r="O31"/>
  <c r="F34"/>
  <c r="F35"/>
  <c r="D36"/>
  <c r="E36"/>
  <c r="M36"/>
  <c r="N36"/>
  <c r="O41"/>
  <c r="Q41"/>
  <c r="O42"/>
  <c r="Q42"/>
  <c r="S42" s="1"/>
  <c r="U42" s="1"/>
  <c r="O43"/>
  <c r="Q43"/>
  <c r="S43" s="1"/>
  <c r="U43" s="1"/>
  <c r="F45"/>
  <c r="J45"/>
  <c r="L45" s="1"/>
  <c r="F46"/>
  <c r="F47"/>
  <c r="F48"/>
  <c r="H48" s="1"/>
  <c r="L48" s="1"/>
  <c r="D49"/>
  <c r="E49"/>
  <c r="M49"/>
  <c r="N49"/>
  <c r="F54"/>
  <c r="F55"/>
  <c r="F56"/>
  <c r="F57"/>
  <c r="H57" s="1"/>
  <c r="D58"/>
  <c r="E58"/>
  <c r="M58"/>
  <c r="N58"/>
  <c r="O58"/>
  <c r="O62"/>
  <c r="N76" i="1"/>
  <c r="M64" i="4"/>
  <c r="N64"/>
  <c r="O69"/>
  <c r="O70"/>
  <c r="Q70" s="1"/>
  <c r="S70" s="1"/>
  <c r="U70" s="1"/>
  <c r="O71"/>
  <c r="O92" s="1"/>
  <c r="D72"/>
  <c r="E72"/>
  <c r="F72"/>
  <c r="M72"/>
  <c r="N72"/>
  <c r="D80"/>
  <c r="E80"/>
  <c r="D81"/>
  <c r="E81"/>
  <c r="D82"/>
  <c r="E82"/>
  <c r="D83"/>
  <c r="E83"/>
  <c r="M87"/>
  <c r="N87"/>
  <c r="M88"/>
  <c r="N88"/>
  <c r="M92"/>
  <c r="N92"/>
  <c r="M93"/>
  <c r="N93"/>
  <c r="F11" i="2"/>
  <c r="F13"/>
  <c r="F12"/>
  <c r="D13"/>
  <c r="E13"/>
  <c r="F18"/>
  <c r="H18" s="1"/>
  <c r="F19"/>
  <c r="H19" s="1"/>
  <c r="J19" s="1"/>
  <c r="L19" s="1"/>
  <c r="D20"/>
  <c r="E20"/>
  <c r="O25"/>
  <c r="Q25" s="1"/>
  <c r="M26"/>
  <c r="N26"/>
  <c r="O31"/>
  <c r="O393" s="1"/>
  <c r="M32"/>
  <c r="N32"/>
  <c r="F37"/>
  <c r="H37" s="1"/>
  <c r="F38"/>
  <c r="H38"/>
  <c r="J38" s="1"/>
  <c r="L38" s="1"/>
  <c r="D39"/>
  <c r="E39"/>
  <c r="O44"/>
  <c r="Q44"/>
  <c r="F46"/>
  <c r="H46"/>
  <c r="J46" s="1"/>
  <c r="F47"/>
  <c r="H47"/>
  <c r="F48"/>
  <c r="F49"/>
  <c r="H49" s="1"/>
  <c r="J49" s="1"/>
  <c r="L49" s="1"/>
  <c r="E53"/>
  <c r="E382" s="1"/>
  <c r="E390" s="1"/>
  <c r="N406" s="1"/>
  <c r="O56"/>
  <c r="O402" s="1"/>
  <c r="D57"/>
  <c r="M57"/>
  <c r="N57"/>
  <c r="O64"/>
  <c r="N15" i="1"/>
  <c r="N125" s="1"/>
  <c r="O65" i="2"/>
  <c r="N16" i="1"/>
  <c r="N126" s="1"/>
  <c r="O66" i="2"/>
  <c r="N17" i="1"/>
  <c r="N127" s="1"/>
  <c r="O67" i="2"/>
  <c r="N18" i="1"/>
  <c r="N128" s="1"/>
  <c r="O68" i="2"/>
  <c r="O69"/>
  <c r="O72"/>
  <c r="D75"/>
  <c r="E75"/>
  <c r="F75"/>
  <c r="M75"/>
  <c r="N75"/>
  <c r="F80"/>
  <c r="H80"/>
  <c r="F81"/>
  <c r="H81"/>
  <c r="J81" s="1"/>
  <c r="L81" s="1"/>
  <c r="D82"/>
  <c r="E82"/>
  <c r="O87"/>
  <c r="O106"/>
  <c r="O88"/>
  <c r="Q88"/>
  <c r="S88" s="1"/>
  <c r="U88" s="1"/>
  <c r="O90"/>
  <c r="Q90"/>
  <c r="F92"/>
  <c r="H92"/>
  <c r="F93"/>
  <c r="H93" s="1"/>
  <c r="F94"/>
  <c r="H94" s="1"/>
  <c r="J94" s="1"/>
  <c r="L94" s="1"/>
  <c r="F95"/>
  <c r="D106"/>
  <c r="E106"/>
  <c r="M106"/>
  <c r="N106"/>
  <c r="O112"/>
  <c r="Q112"/>
  <c r="O114"/>
  <c r="Q114"/>
  <c r="S114" s="1"/>
  <c r="U114" s="1"/>
  <c r="O113"/>
  <c r="Q113"/>
  <c r="S113" s="1"/>
  <c r="U113" s="1"/>
  <c r="O115"/>
  <c r="Q115"/>
  <c r="S115" s="1"/>
  <c r="O116"/>
  <c r="Q116" s="1"/>
  <c r="O121"/>
  <c r="Q121" s="1"/>
  <c r="S121" s="1"/>
  <c r="U121" s="1"/>
  <c r="O123"/>
  <c r="Q123" s="1"/>
  <c r="S123" s="1"/>
  <c r="U123" s="1"/>
  <c r="O124"/>
  <c r="Q124" s="1"/>
  <c r="S124" s="1"/>
  <c r="U124" s="1"/>
  <c r="O117"/>
  <c r="Q117"/>
  <c r="S117" s="1"/>
  <c r="U117" s="1"/>
  <c r="O118"/>
  <c r="Q118"/>
  <c r="S118" s="1"/>
  <c r="U118" s="1"/>
  <c r="O119"/>
  <c r="Q119"/>
  <c r="S119" s="1"/>
  <c r="U119" s="1"/>
  <c r="O120"/>
  <c r="O122"/>
  <c r="Q122" s="1"/>
  <c r="S122" s="1"/>
  <c r="U122" s="1"/>
  <c r="O129"/>
  <c r="Q129" s="1"/>
  <c r="S129" s="1"/>
  <c r="U129" s="1"/>
  <c r="O126"/>
  <c r="Q126" s="1"/>
  <c r="S126" s="1"/>
  <c r="U126" s="1"/>
  <c r="O128"/>
  <c r="Q128" s="1"/>
  <c r="S128" s="1"/>
  <c r="U128" s="1"/>
  <c r="W134" s="1"/>
  <c r="W136" s="1"/>
  <c r="M136"/>
  <c r="M149" s="1"/>
  <c r="N136"/>
  <c r="N149" s="1"/>
  <c r="O145"/>
  <c r="N47" i="1" s="1"/>
  <c r="N156" s="1"/>
  <c r="N146" i="2"/>
  <c r="N399" s="1"/>
  <c r="O148"/>
  <c r="O400" s="1"/>
  <c r="O156"/>
  <c r="N58" i="1" s="1"/>
  <c r="F162" i="2"/>
  <c r="E61" i="1" s="1"/>
  <c r="H162" i="2"/>
  <c r="J162" s="1"/>
  <c r="F163"/>
  <c r="H163" s="1"/>
  <c r="F164"/>
  <c r="E165"/>
  <c r="E387"/>
  <c r="D166"/>
  <c r="M166"/>
  <c r="N166"/>
  <c r="E171"/>
  <c r="D173"/>
  <c r="F178"/>
  <c r="F179"/>
  <c r="H179"/>
  <c r="J179" s="1"/>
  <c r="L179" s="1"/>
  <c r="D180"/>
  <c r="E180"/>
  <c r="O185"/>
  <c r="Q185"/>
  <c r="Q190" s="1"/>
  <c r="O186"/>
  <c r="Q186" s="1"/>
  <c r="F188"/>
  <c r="H188" s="1"/>
  <c r="F189"/>
  <c r="H189"/>
  <c r="J189" s="1"/>
  <c r="L189" s="1"/>
  <c r="D190"/>
  <c r="E190"/>
  <c r="M190"/>
  <c r="N190"/>
  <c r="O195"/>
  <c r="Q195"/>
  <c r="S195" s="1"/>
  <c r="U195" s="1"/>
  <c r="O196"/>
  <c r="M197"/>
  <c r="N197"/>
  <c r="F202"/>
  <c r="H202" s="1"/>
  <c r="J202" s="1"/>
  <c r="L202" s="1"/>
  <c r="F203"/>
  <c r="F204"/>
  <c r="H204" s="1"/>
  <c r="J204" s="1"/>
  <c r="L204" s="1"/>
  <c r="F205"/>
  <c r="H205" s="1"/>
  <c r="J205" s="1"/>
  <c r="L205" s="1"/>
  <c r="O207"/>
  <c r="D208"/>
  <c r="E208"/>
  <c r="M208"/>
  <c r="N208"/>
  <c r="O214"/>
  <c r="Q214"/>
  <c r="Q217" s="1"/>
  <c r="F216"/>
  <c r="H216" s="1"/>
  <c r="D217"/>
  <c r="E217"/>
  <c r="M217"/>
  <c r="N217"/>
  <c r="F222"/>
  <c r="H222" s="1"/>
  <c r="H224" s="1"/>
  <c r="F223"/>
  <c r="H223"/>
  <c r="D224"/>
  <c r="E224"/>
  <c r="F229"/>
  <c r="D230"/>
  <c r="E230"/>
  <c r="F235"/>
  <c r="F236" s="1"/>
  <c r="D236"/>
  <c r="E236"/>
  <c r="F241"/>
  <c r="F242" s="1"/>
  <c r="D242"/>
  <c r="E242"/>
  <c r="F247"/>
  <c r="F248" s="1"/>
  <c r="D248"/>
  <c r="E248"/>
  <c r="F253"/>
  <c r="D254"/>
  <c r="E254"/>
  <c r="F259"/>
  <c r="D260"/>
  <c r="E260"/>
  <c r="F265"/>
  <c r="F266" s="1"/>
  <c r="D266"/>
  <c r="E266"/>
  <c r="F271"/>
  <c r="D272"/>
  <c r="E272"/>
  <c r="F277"/>
  <c r="H277"/>
  <c r="H287" s="1"/>
  <c r="F278"/>
  <c r="H278" s="1"/>
  <c r="J278" s="1"/>
  <c r="L278" s="1"/>
  <c r="O281"/>
  <c r="D287"/>
  <c r="E287"/>
  <c r="M287"/>
  <c r="N287"/>
  <c r="D303"/>
  <c r="E303"/>
  <c r="F303"/>
  <c r="M303"/>
  <c r="N303"/>
  <c r="O303"/>
  <c r="O309"/>
  <c r="F311"/>
  <c r="D313"/>
  <c r="E313"/>
  <c r="M313"/>
  <c r="N313"/>
  <c r="F318"/>
  <c r="F330"/>
  <c r="F319"/>
  <c r="H319"/>
  <c r="J319" s="1"/>
  <c r="L319" s="1"/>
  <c r="O329"/>
  <c r="Q329"/>
  <c r="D330"/>
  <c r="E330"/>
  <c r="M330"/>
  <c r="N330"/>
  <c r="F335"/>
  <c r="H335"/>
  <c r="J335" s="1"/>
  <c r="L335" s="1"/>
  <c r="F336"/>
  <c r="O340"/>
  <c r="O343"/>
  <c r="O342"/>
  <c r="D343"/>
  <c r="E343"/>
  <c r="M343"/>
  <c r="N343"/>
  <c r="O348"/>
  <c r="Q348" s="1"/>
  <c r="F352"/>
  <c r="H352" s="1"/>
  <c r="J352" s="1"/>
  <c r="L352" s="1"/>
  <c r="E353"/>
  <c r="F353" s="1"/>
  <c r="O356"/>
  <c r="Q356"/>
  <c r="P51" i="1" s="1"/>
  <c r="F358" i="2"/>
  <c r="F359"/>
  <c r="D360"/>
  <c r="M360"/>
  <c r="N360"/>
  <c r="O365"/>
  <c r="Q365"/>
  <c r="Q369" s="1"/>
  <c r="D369"/>
  <c r="E369"/>
  <c r="F369"/>
  <c r="M369"/>
  <c r="N369"/>
  <c r="F374"/>
  <c r="E69" i="1"/>
  <c r="E179" s="1"/>
  <c r="D375" i="2"/>
  <c r="D379"/>
  <c r="E379"/>
  <c r="D380"/>
  <c r="E380"/>
  <c r="D381"/>
  <c r="D382"/>
  <c r="D383"/>
  <c r="D390" s="1"/>
  <c r="M406" s="1"/>
  <c r="M407" s="1"/>
  <c r="D384"/>
  <c r="E384"/>
  <c r="D385"/>
  <c r="E385"/>
  <c r="F385"/>
  <c r="D386"/>
  <c r="E386"/>
  <c r="D387"/>
  <c r="D388"/>
  <c r="E388"/>
  <c r="D389"/>
  <c r="S365"/>
  <c r="S369" s="1"/>
  <c r="M48" i="1"/>
  <c r="M157" s="1"/>
  <c r="D39"/>
  <c r="D194" s="1"/>
  <c r="E389" i="2"/>
  <c r="F53"/>
  <c r="H53"/>
  <c r="J53" s="1"/>
  <c r="L53" s="1"/>
  <c r="O217"/>
  <c r="F254"/>
  <c r="H253"/>
  <c r="Q66"/>
  <c r="N23" i="1"/>
  <c r="N131" s="1"/>
  <c r="Q72" i="2"/>
  <c r="Q31"/>
  <c r="Q393" s="1"/>
  <c r="Q145"/>
  <c r="P47" i="1" s="1"/>
  <c r="P156" s="1"/>
  <c r="Q64" i="2"/>
  <c r="S64" s="1"/>
  <c r="R15" i="1" s="1"/>
  <c r="R125" s="1"/>
  <c r="O197" i="2"/>
  <c r="E62" i="1"/>
  <c r="O369" i="2"/>
  <c r="H318"/>
  <c r="F230"/>
  <c r="H229"/>
  <c r="H12"/>
  <c r="J12"/>
  <c r="L12" s="1"/>
  <c r="O330"/>
  <c r="Q156"/>
  <c r="O26"/>
  <c r="F39"/>
  <c r="F20"/>
  <c r="O190"/>
  <c r="E173"/>
  <c r="F171"/>
  <c r="F389"/>
  <c r="E166"/>
  <c r="O146"/>
  <c r="N48" i="1" s="1"/>
  <c r="N157" s="1"/>
  <c r="O32" i="2"/>
  <c r="E147" i="5"/>
  <c r="F104"/>
  <c r="F107" s="1"/>
  <c r="E360" i="2"/>
  <c r="E26" i="1"/>
  <c r="E136"/>
  <c r="O18" i="5"/>
  <c r="E100" i="1"/>
  <c r="S356" i="2"/>
  <c r="U356"/>
  <c r="T51" i="1" s="1"/>
  <c r="T204" s="1"/>
  <c r="S145" i="2"/>
  <c r="R47" i="1"/>
  <c r="R156" s="1"/>
  <c r="H254" i="2"/>
  <c r="J253"/>
  <c r="J254" s="1"/>
  <c r="H171"/>
  <c r="H389" s="1"/>
  <c r="Q32"/>
  <c r="P57"/>
  <c r="O42" i="1"/>
  <c r="O152" s="1"/>
  <c r="E39"/>
  <c r="E194" s="1"/>
  <c r="F173" i="2"/>
  <c r="L253"/>
  <c r="L254" s="1"/>
  <c r="O121" i="1"/>
  <c r="S121"/>
  <c r="M197"/>
  <c r="S142"/>
  <c r="Q201"/>
  <c r="I80" i="4"/>
  <c r="H79" i="1"/>
  <c r="H184" s="1"/>
  <c r="E81"/>
  <c r="E80"/>
  <c r="E185" s="1"/>
  <c r="G162"/>
  <c r="G163"/>
  <c r="O156"/>
  <c r="O205"/>
  <c r="O154"/>
  <c r="O203"/>
  <c r="M205"/>
  <c r="L205"/>
  <c r="C193"/>
  <c r="C163"/>
  <c r="C161"/>
  <c r="C194"/>
  <c r="C149"/>
  <c r="C147"/>
  <c r="C138"/>
  <c r="L166"/>
  <c r="L157"/>
  <c r="L155"/>
  <c r="L152"/>
  <c r="L145"/>
  <c r="L143"/>
  <c r="L131"/>
  <c r="L130"/>
  <c r="L129"/>
  <c r="L127"/>
  <c r="L125"/>
  <c r="L121"/>
  <c r="C113"/>
  <c r="C169"/>
  <c r="J80" i="2"/>
  <c r="H82"/>
  <c r="S214"/>
  <c r="U214"/>
  <c r="S185"/>
  <c r="R51" i="1"/>
  <c r="R159" s="1"/>
  <c r="U365" i="2"/>
  <c r="U369" s="1"/>
  <c r="N93" i="1"/>
  <c r="F379" i="2"/>
  <c r="N42" i="1"/>
  <c r="N152" s="1"/>
  <c r="H247" i="2"/>
  <c r="H265"/>
  <c r="J265"/>
  <c r="H374"/>
  <c r="J374"/>
  <c r="N159" i="5"/>
  <c r="N160"/>
  <c r="O137"/>
  <c r="F75"/>
  <c r="O60"/>
  <c r="C187" i="1"/>
  <c r="S159"/>
  <c r="F81" i="4"/>
  <c r="Q56" i="2"/>
  <c r="P42" i="1"/>
  <c r="P152" s="1"/>
  <c r="E97"/>
  <c r="Q146" i="2"/>
  <c r="P48" i="1" s="1"/>
  <c r="P157" s="1"/>
  <c r="E30"/>
  <c r="E189" s="1"/>
  <c r="F287" i="2"/>
  <c r="F224"/>
  <c r="H241"/>
  <c r="F49" i="4"/>
  <c r="F149" i="5"/>
  <c r="F82"/>
  <c r="M111" i="1"/>
  <c r="M208" s="1"/>
  <c r="F24" i="9"/>
  <c r="N27" i="6"/>
  <c r="F17" i="11"/>
  <c r="C164" i="1"/>
  <c r="R160" i="5"/>
  <c r="R162"/>
  <c r="T160"/>
  <c r="F57" i="2"/>
  <c r="E99" i="1"/>
  <c r="O57" i="2"/>
  <c r="S31"/>
  <c r="U31"/>
  <c r="H11"/>
  <c r="O158" i="5"/>
  <c r="D98" i="1"/>
  <c r="D185" s="1"/>
  <c r="L207"/>
  <c r="P15"/>
  <c r="P125" s="1"/>
  <c r="F34" i="9"/>
  <c r="N108" i="1"/>
  <c r="F343" i="2"/>
  <c r="M160" i="5"/>
  <c r="F28" i="1"/>
  <c r="F138" s="1"/>
  <c r="R404" i="2"/>
  <c r="F722" i="12"/>
  <c r="E57" i="2"/>
  <c r="E372" s="1"/>
  <c r="F82"/>
  <c r="P13" i="1"/>
  <c r="P123"/>
  <c r="F165" i="2"/>
  <c r="N13" i="1"/>
  <c r="N198" s="1"/>
  <c r="D64"/>
  <c r="D192" s="1"/>
  <c r="G57" i="2"/>
  <c r="O113" i="1"/>
  <c r="T35"/>
  <c r="T145" s="1"/>
  <c r="E98"/>
  <c r="N75"/>
  <c r="D151" i="5"/>
  <c r="L201" i="1"/>
  <c r="J72" i="4"/>
  <c r="L72"/>
  <c r="I24"/>
  <c r="I74"/>
  <c r="O159" i="1"/>
  <c r="C68"/>
  <c r="J188"/>
  <c r="J189"/>
  <c r="F184"/>
  <c r="F190"/>
  <c r="Q199"/>
  <c r="L156"/>
  <c r="Q208"/>
  <c r="J193"/>
  <c r="C137"/>
  <c r="C188"/>
  <c r="S208"/>
  <c r="J170"/>
  <c r="D170"/>
  <c r="F186"/>
  <c r="Q207"/>
  <c r="Q127"/>
  <c r="E74" i="4"/>
  <c r="D84"/>
  <c r="R94"/>
  <c r="F24"/>
  <c r="E84"/>
  <c r="M87" i="1"/>
  <c r="M88" s="1"/>
  <c r="G74" i="4"/>
  <c r="D87" i="1"/>
  <c r="J186"/>
  <c r="J179"/>
  <c r="T94" i="4"/>
  <c r="H178" i="2"/>
  <c r="F180"/>
  <c r="E63" i="1"/>
  <c r="H164" i="2"/>
  <c r="F386"/>
  <c r="J223"/>
  <c r="L223" s="1"/>
  <c r="F260"/>
  <c r="H259"/>
  <c r="G39" i="1"/>
  <c r="G194" s="1"/>
  <c r="H173" i="2"/>
  <c r="Q101" i="5"/>
  <c r="S101"/>
  <c r="O107"/>
  <c r="N94" i="1"/>
  <c r="R204"/>
  <c r="U145" i="2"/>
  <c r="T47" i="1"/>
  <c r="P23"/>
  <c r="P131" s="1"/>
  <c r="S72" i="2"/>
  <c r="U72" s="1"/>
  <c r="H336"/>
  <c r="J336" s="1"/>
  <c r="S90"/>
  <c r="H95"/>
  <c r="E29" i="1"/>
  <c r="E139" s="1"/>
  <c r="H330" i="2"/>
  <c r="J318"/>
  <c r="J330" s="1"/>
  <c r="Q120"/>
  <c r="O136"/>
  <c r="Q57"/>
  <c r="G69" i="1"/>
  <c r="G179" s="1"/>
  <c r="J277" i="2"/>
  <c r="O72" i="4"/>
  <c r="Q69"/>
  <c r="N85" i="1"/>
  <c r="N208" s="1"/>
  <c r="H93" i="5"/>
  <c r="F95"/>
  <c r="Q402" i="2"/>
  <c r="S56"/>
  <c r="R42" i="1" s="1"/>
  <c r="F381" i="2"/>
  <c r="H48"/>
  <c r="H20" i="4"/>
  <c r="F80"/>
  <c r="E79" i="1"/>
  <c r="F388" i="2"/>
  <c r="H358"/>
  <c r="E56" i="1"/>
  <c r="E193" s="1"/>
  <c r="F106" i="2"/>
  <c r="N20" i="1"/>
  <c r="N130" s="1"/>
  <c r="Q69" i="2"/>
  <c r="O75"/>
  <c r="M75" i="4"/>
  <c r="H132" i="5"/>
  <c r="F137"/>
  <c r="H127"/>
  <c r="J117"/>
  <c r="S146" i="2"/>
  <c r="R48" i="1"/>
  <c r="O395" i="2"/>
  <c r="H54" i="4"/>
  <c r="J54"/>
  <c r="F58"/>
  <c r="O155" i="5"/>
  <c r="Q115"/>
  <c r="O127"/>
  <c r="N109" i="1"/>
  <c r="M113"/>
  <c r="M176" s="1"/>
  <c r="S393" i="2"/>
  <c r="R13" i="1"/>
  <c r="R123" s="1"/>
  <c r="Q87" i="2"/>
  <c r="N11" i="1"/>
  <c r="N121" s="1"/>
  <c r="J35" i="4"/>
  <c r="F83"/>
  <c r="H35"/>
  <c r="E82" i="1"/>
  <c r="M141" i="5"/>
  <c r="S112" i="2"/>
  <c r="N12" i="1"/>
  <c r="N122" s="1"/>
  <c r="Q196" i="2"/>
  <c r="S196"/>
  <c r="J92"/>
  <c r="S44"/>
  <c r="O93" i="4"/>
  <c r="M94"/>
  <c r="Q74" i="5"/>
  <c r="O75"/>
  <c r="O399" i="2"/>
  <c r="R145" i="1"/>
  <c r="N51"/>
  <c r="N159" s="1"/>
  <c r="M24"/>
  <c r="M132"/>
  <c r="O49" i="4"/>
  <c r="H46"/>
  <c r="J46"/>
  <c r="L46" s="1"/>
  <c r="H21"/>
  <c r="F146" i="5"/>
  <c r="H103"/>
  <c r="S73"/>
  <c r="H47"/>
  <c r="F49"/>
  <c r="O55"/>
  <c r="C162" i="1"/>
  <c r="O199"/>
  <c r="F383" i="2"/>
  <c r="L132" i="1"/>
  <c r="L24"/>
  <c r="N94" i="4"/>
  <c r="H34"/>
  <c r="F82"/>
  <c r="J34"/>
  <c r="J36" s="1"/>
  <c r="F36"/>
  <c r="F74" s="1"/>
  <c r="O24"/>
  <c r="O75" s="1"/>
  <c r="O88"/>
  <c r="J80" i="5"/>
  <c r="H82"/>
  <c r="F18"/>
  <c r="M121" i="1"/>
  <c r="Q15" i="4"/>
  <c r="O398" i="2"/>
  <c r="N32" i="1"/>
  <c r="N142" s="1"/>
  <c r="Q31" i="4"/>
  <c r="O87"/>
  <c r="C186" i="1"/>
  <c r="F170"/>
  <c r="Q65" i="2"/>
  <c r="F217"/>
  <c r="Q148"/>
  <c r="O360"/>
  <c r="O392"/>
  <c r="H56" i="4"/>
  <c r="J56"/>
  <c r="L56" s="1"/>
  <c r="S41"/>
  <c r="Q49"/>
  <c r="O36"/>
  <c r="E148" i="5"/>
  <c r="E151" s="1"/>
  <c r="N162" s="1"/>
  <c r="D99" i="1"/>
  <c r="E75" i="5"/>
  <c r="E140" s="1"/>
  <c r="N13" i="6"/>
  <c r="M198" i="1"/>
  <c r="Q167"/>
  <c r="N86"/>
  <c r="Q71" i="4"/>
  <c r="Q62"/>
  <c r="O64"/>
  <c r="Q87" i="5"/>
  <c r="O95"/>
  <c r="N202" i="1"/>
  <c r="F147"/>
  <c r="F187"/>
  <c r="U140" i="2"/>
  <c r="N50" i="1"/>
  <c r="N158" s="1"/>
  <c r="H55" i="4"/>
  <c r="J55"/>
  <c r="J58" s="1"/>
  <c r="H47"/>
  <c r="L47" s="1"/>
  <c r="J47"/>
  <c r="O154" i="5"/>
  <c r="F127"/>
  <c r="J68"/>
  <c r="Q60"/>
  <c r="N111" i="1"/>
  <c r="O63" i="5"/>
  <c r="O159"/>
  <c r="Q35"/>
  <c r="O37"/>
  <c r="O30"/>
  <c r="F148"/>
  <c r="E8" i="10"/>
  <c r="E17" s="1"/>
  <c r="D179" i="1"/>
  <c r="M154"/>
  <c r="J48" i="4"/>
  <c r="O206" i="1"/>
  <c r="P112"/>
  <c r="S62" i="5"/>
  <c r="G84" i="4"/>
  <c r="P97"/>
  <c r="S202" i="1"/>
  <c r="O394" i="2"/>
  <c r="O153" i="5"/>
  <c r="O160" s="1"/>
  <c r="F30"/>
  <c r="M204" i="1"/>
  <c r="I381" i="2"/>
  <c r="I390" s="1"/>
  <c r="R406" s="1"/>
  <c r="R407" s="1"/>
  <c r="I57"/>
  <c r="S132" i="1"/>
  <c r="F189"/>
  <c r="J57" i="4"/>
  <c r="L57"/>
  <c r="H39" i="1"/>
  <c r="H194" s="1"/>
  <c r="H113"/>
  <c r="Q198"/>
  <c r="D190"/>
  <c r="H23" i="4"/>
  <c r="J23" s="1"/>
  <c r="L23" s="1"/>
  <c r="H190" i="1"/>
  <c r="H169"/>
  <c r="H186"/>
  <c r="T395" i="2"/>
  <c r="T404" s="1"/>
  <c r="S156" i="1"/>
  <c r="J21" i="4"/>
  <c r="G80" i="1"/>
  <c r="L22" i="4"/>
  <c r="H165" i="2"/>
  <c r="H166" s="1"/>
  <c r="F387"/>
  <c r="E113" i="1"/>
  <c r="S217" i="2"/>
  <c r="U217"/>
  <c r="H343"/>
  <c r="H242"/>
  <c r="J241"/>
  <c r="H266"/>
  <c r="H13"/>
  <c r="J11"/>
  <c r="J247"/>
  <c r="H248"/>
  <c r="H68" i="1"/>
  <c r="E140"/>
  <c r="J82" i="2"/>
  <c r="L80"/>
  <c r="L82"/>
  <c r="J49" i="4"/>
  <c r="K54"/>
  <c r="J79" i="1"/>
  <c r="G82"/>
  <c r="I82" s="1"/>
  <c r="S31" i="4"/>
  <c r="Q87"/>
  <c r="U12" i="5"/>
  <c r="L92" i="2"/>
  <c r="I26" i="1"/>
  <c r="E164"/>
  <c r="P85"/>
  <c r="Q72" i="4"/>
  <c r="Q93"/>
  <c r="S69"/>
  <c r="S120" i="2"/>
  <c r="U120" s="1"/>
  <c r="Q136"/>
  <c r="T23" i="1"/>
  <c r="T131" s="1"/>
  <c r="R23"/>
  <c r="R131" s="1"/>
  <c r="J164" i="2"/>
  <c r="G63" i="1"/>
  <c r="L16" i="5"/>
  <c r="N201" i="1"/>
  <c r="J358" i="2"/>
  <c r="H388"/>
  <c r="G56" i="1"/>
  <c r="Q400" i="2"/>
  <c r="P50" i="1"/>
  <c r="S148" i="2"/>
  <c r="L49" i="4"/>
  <c r="L34"/>
  <c r="H36"/>
  <c r="U73" i="5"/>
  <c r="Q197" i="2"/>
  <c r="S87"/>
  <c r="Q106"/>
  <c r="P109" i="1"/>
  <c r="P202" s="1"/>
  <c r="S115" i="5"/>
  <c r="Q155"/>
  <c r="U146" i="2"/>
  <c r="T48" i="1" s="1"/>
  <c r="R157"/>
  <c r="S402" i="2"/>
  <c r="U56"/>
  <c r="Q95" i="5"/>
  <c r="S87"/>
  <c r="D186" i="1"/>
  <c r="U41" i="4"/>
  <c r="U49"/>
  <c r="S49"/>
  <c r="J103" i="5"/>
  <c r="M200" i="1"/>
  <c r="P20"/>
  <c r="P130" s="1"/>
  <c r="S69" i="2"/>
  <c r="L277"/>
  <c r="L287" s="1"/>
  <c r="J287"/>
  <c r="J95"/>
  <c r="G29" i="1"/>
  <c r="G139" s="1"/>
  <c r="J259" i="2"/>
  <c r="H260"/>
  <c r="S15" i="4"/>
  <c r="P75" i="1"/>
  <c r="Q24" i="4"/>
  <c r="J82" i="5"/>
  <c r="L80"/>
  <c r="L82"/>
  <c r="L200" i="1"/>
  <c r="N204"/>
  <c r="U112" i="2"/>
  <c r="H57"/>
  <c r="J48"/>
  <c r="S399"/>
  <c r="O200" i="1"/>
  <c r="O68"/>
  <c r="U113" i="5"/>
  <c r="H180" i="2"/>
  <c r="Q36" i="4"/>
  <c r="Q127" i="5"/>
  <c r="P16" i="1"/>
  <c r="P126" s="1"/>
  <c r="S57" i="2"/>
  <c r="U44"/>
  <c r="U57" s="1"/>
  <c r="T13" i="1"/>
  <c r="T123" s="1"/>
  <c r="L15" i="5"/>
  <c r="J93"/>
  <c r="H95"/>
  <c r="L318" i="2"/>
  <c r="L330" s="1"/>
  <c r="P111" i="1"/>
  <c r="Q159" i="5"/>
  <c r="S71" i="4"/>
  <c r="P86" i="1"/>
  <c r="Q92" i="4"/>
  <c r="S158" i="5"/>
  <c r="L68"/>
  <c r="U29" i="4"/>
  <c r="S36"/>
  <c r="J132" i="5"/>
  <c r="H137"/>
  <c r="I69" i="1"/>
  <c r="I179" s="1"/>
  <c r="L374" i="2"/>
  <c r="K69" i="1"/>
  <c r="N132"/>
  <c r="N24"/>
  <c r="N200" s="1"/>
  <c r="O149" i="2"/>
  <c r="U90"/>
  <c r="L21" i="4"/>
  <c r="I80" i="1"/>
  <c r="K81"/>
  <c r="J266" i="2"/>
  <c r="L265"/>
  <c r="L266"/>
  <c r="J242"/>
  <c r="L241"/>
  <c r="L242" s="1"/>
  <c r="J165"/>
  <c r="G64" i="1"/>
  <c r="G170"/>
  <c r="H387" i="2"/>
  <c r="J248"/>
  <c r="L247"/>
  <c r="L248" s="1"/>
  <c r="L11"/>
  <c r="L13" s="1"/>
  <c r="J13"/>
  <c r="K80" i="4"/>
  <c r="L54"/>
  <c r="W113" i="2"/>
  <c r="S106"/>
  <c r="U87"/>
  <c r="U15" i="4"/>
  <c r="R75" i="1"/>
  <c r="S24" i="4"/>
  <c r="L95" i="2"/>
  <c r="I29" i="1"/>
  <c r="I139" s="1"/>
  <c r="U196" i="2"/>
  <c r="U197"/>
  <c r="S197"/>
  <c r="S400"/>
  <c r="U148"/>
  <c r="R50" i="1"/>
  <c r="U87" i="5"/>
  <c r="L48" i="2"/>
  <c r="L103" i="5"/>
  <c r="P158" i="1"/>
  <c r="G193"/>
  <c r="G164"/>
  <c r="J137" i="5"/>
  <c r="L132"/>
  <c r="L137"/>
  <c r="P132" i="1"/>
  <c r="Q149" i="2"/>
  <c r="R86" i="1"/>
  <c r="S92" i="4"/>
  <c r="U71"/>
  <c r="L259" i="2"/>
  <c r="J260"/>
  <c r="I56" i="1"/>
  <c r="I193" s="1"/>
  <c r="L358" i="2"/>
  <c r="J388"/>
  <c r="S87" i="4"/>
  <c r="U31"/>
  <c r="U36"/>
  <c r="I136" i="1"/>
  <c r="U402" i="2"/>
  <c r="X402" s="1"/>
  <c r="T42" i="1"/>
  <c r="T152" s="1"/>
  <c r="U115" i="5"/>
  <c r="U155"/>
  <c r="X155" s="1"/>
  <c r="S155"/>
  <c r="R109" i="1"/>
  <c r="R202" s="1"/>
  <c r="L164" i="2"/>
  <c r="I63" i="1"/>
  <c r="U69" i="4"/>
  <c r="R85" i="1"/>
  <c r="R208" s="1"/>
  <c r="S72" i="4"/>
  <c r="S93"/>
  <c r="R20" i="1"/>
  <c r="R130"/>
  <c r="U69" i="2"/>
  <c r="T20" i="1"/>
  <c r="T130" s="1"/>
  <c r="J95" i="5"/>
  <c r="L93"/>
  <c r="L95" s="1"/>
  <c r="T156" i="1"/>
  <c r="R152"/>
  <c r="I64"/>
  <c r="I192" s="1"/>
  <c r="L165" i="2"/>
  <c r="J387"/>
  <c r="K63" i="1"/>
  <c r="T75"/>
  <c r="I164"/>
  <c r="T86"/>
  <c r="U92" i="4"/>
  <c r="T85" i="1"/>
  <c r="U72" i="4"/>
  <c r="U93"/>
  <c r="L388" i="2"/>
  <c r="X388" s="1"/>
  <c r="K56" i="1"/>
  <c r="K164" s="1"/>
  <c r="U400" i="2"/>
  <c r="X400" s="1"/>
  <c r="T50" i="1"/>
  <c r="T158" s="1"/>
  <c r="L387" i="2"/>
  <c r="X387"/>
  <c r="K64" i="1"/>
  <c r="K192" s="1"/>
  <c r="I170"/>
  <c r="K193"/>
  <c r="K58" i="4"/>
  <c r="K74"/>
  <c r="L55"/>
  <c r="K80" i="1"/>
  <c r="J87"/>
  <c r="J176" s="1"/>
  <c r="L58" i="4"/>
  <c r="J185" i="1"/>
  <c r="K84" i="4"/>
  <c r="T97" s="1"/>
  <c r="K389" i="2"/>
  <c r="J39" i="1"/>
  <c r="J194"/>
  <c r="H203" i="2"/>
  <c r="F208"/>
  <c r="E27" i="1"/>
  <c r="Q18" i="5"/>
  <c r="R158" i="1"/>
  <c r="T109"/>
  <c r="T202" s="1"/>
  <c r="U106" i="2"/>
  <c r="U127" i="5"/>
  <c r="S11"/>
  <c r="F166" i="2"/>
  <c r="F372" s="1"/>
  <c r="E64" i="1"/>
  <c r="E192" s="1"/>
  <c r="F84" i="4"/>
  <c r="J229" i="2"/>
  <c r="H230"/>
  <c r="D372"/>
  <c r="J47"/>
  <c r="U87" i="4"/>
  <c r="F140" i="5"/>
  <c r="R112" i="1"/>
  <c r="U62" i="5"/>
  <c r="F380" i="2"/>
  <c r="M373"/>
  <c r="Q281"/>
  <c r="O287"/>
  <c r="O396"/>
  <c r="O404" s="1"/>
  <c r="F272"/>
  <c r="E38" i="1"/>
  <c r="H271" i="2"/>
  <c r="N19" i="1"/>
  <c r="Q68" i="2"/>
  <c r="S62" i="4"/>
  <c r="P76" i="1"/>
  <c r="Q88" i="4"/>
  <c r="Q94"/>
  <c r="O94"/>
  <c r="E87" i="1"/>
  <c r="E176" s="1"/>
  <c r="E184"/>
  <c r="J343" i="2"/>
  <c r="L336"/>
  <c r="L343" s="1"/>
  <c r="J178"/>
  <c r="I61" i="1"/>
  <c r="L162" i="2"/>
  <c r="J93"/>
  <c r="H106"/>
  <c r="U399"/>
  <c r="X399"/>
  <c r="S60" i="5"/>
  <c r="Q63"/>
  <c r="H82" i="4"/>
  <c r="J82" s="1"/>
  <c r="L82" s="1"/>
  <c r="G81" i="1"/>
  <c r="H83" i="4"/>
  <c r="J83" s="1"/>
  <c r="L83" s="1"/>
  <c r="L35"/>
  <c r="L36" s="1"/>
  <c r="U185" i="2"/>
  <c r="S43" i="5"/>
  <c r="P94" i="1"/>
  <c r="M127"/>
  <c r="U24" i="4"/>
  <c r="G192" i="1"/>
  <c r="Q64" i="4"/>
  <c r="Q75" s="1"/>
  <c r="H58"/>
  <c r="H81"/>
  <c r="L117" i="5"/>
  <c r="J127"/>
  <c r="J20" i="4"/>
  <c r="H24"/>
  <c r="U393" i="2"/>
  <c r="X393" s="1"/>
  <c r="U32"/>
  <c r="Q166"/>
  <c r="S156"/>
  <c r="Q403"/>
  <c r="P58" i="1"/>
  <c r="P206" s="1"/>
  <c r="N166"/>
  <c r="N206"/>
  <c r="U115" i="2"/>
  <c r="N373"/>
  <c r="S113" i="1"/>
  <c r="N205"/>
  <c r="S65" i="2"/>
  <c r="Q75" i="5"/>
  <c r="S74"/>
  <c r="S75" s="1"/>
  <c r="U74"/>
  <c r="U75" s="1"/>
  <c r="U101"/>
  <c r="S35"/>
  <c r="S127"/>
  <c r="H53"/>
  <c r="H148"/>
  <c r="J47"/>
  <c r="H49"/>
  <c r="G99" i="1"/>
  <c r="S186" i="2"/>
  <c r="S190" s="1"/>
  <c r="P12" i="1"/>
  <c r="P122" s="1"/>
  <c r="U64" i="2"/>
  <c r="M97" i="4"/>
  <c r="M162" i="5"/>
  <c r="H235" i="2"/>
  <c r="Q207"/>
  <c r="P32" i="1"/>
  <c r="O208" i="2"/>
  <c r="Q42" i="5"/>
  <c r="O49"/>
  <c r="O141"/>
  <c r="S205" i="1"/>
  <c r="K166" i="2"/>
  <c r="K372" s="1"/>
  <c r="J62" i="1"/>
  <c r="J68" s="1"/>
  <c r="K386" i="2"/>
  <c r="K390"/>
  <c r="T406" s="1"/>
  <c r="T407" s="1"/>
  <c r="H104" i="5"/>
  <c r="F147"/>
  <c r="F151"/>
  <c r="O162" s="1"/>
  <c r="E53" i="1"/>
  <c r="E161" s="1"/>
  <c r="H359" i="2"/>
  <c r="F313"/>
  <c r="H311"/>
  <c r="G28" i="1"/>
  <c r="F38" i="9"/>
  <c r="F39" s="1"/>
  <c r="F44" s="1"/>
  <c r="F64" s="1"/>
  <c r="S135" i="2"/>
  <c r="H379"/>
  <c r="Q399"/>
  <c r="J171"/>
  <c r="E28" i="1"/>
  <c r="E186" s="1"/>
  <c r="N97" i="4"/>
  <c r="F190" i="2"/>
  <c r="Q67"/>
  <c r="Q75" s="1"/>
  <c r="J222"/>
  <c r="P17" i="1"/>
  <c r="S66" i="2"/>
  <c r="Q309"/>
  <c r="Q392" s="1"/>
  <c r="O313"/>
  <c r="C192" i="1"/>
  <c r="S24"/>
  <c r="T149" i="2"/>
  <c r="O142" i="1"/>
  <c r="O201"/>
  <c r="F375" i="2"/>
  <c r="C70" i="1"/>
  <c r="C180" s="1"/>
  <c r="K146" i="5"/>
  <c r="K151"/>
  <c r="T162" s="1"/>
  <c r="K18"/>
  <c r="K140" s="1"/>
  <c r="J97" i="1"/>
  <c r="S32" i="2"/>
  <c r="Q340"/>
  <c r="P45" i="1" s="1"/>
  <c r="N45"/>
  <c r="N203" s="1"/>
  <c r="D74" i="4"/>
  <c r="Q330" i="2"/>
  <c r="S329"/>
  <c r="O403"/>
  <c r="O166"/>
  <c r="O373" s="1"/>
  <c r="Q24" i="1"/>
  <c r="Q200" s="1"/>
  <c r="Q132"/>
  <c r="R149" i="2"/>
  <c r="Q203" i="1"/>
  <c r="Q154"/>
  <c r="F360" i="2"/>
  <c r="H45" i="4"/>
  <c r="H80" s="1"/>
  <c r="F384" i="2"/>
  <c r="O207" i="1"/>
  <c r="G61"/>
  <c r="P342" i="2"/>
  <c r="D37" i="1"/>
  <c r="D188"/>
  <c r="P24"/>
  <c r="P200" s="1"/>
  <c r="G138"/>
  <c r="P142"/>
  <c r="P343" i="2"/>
  <c r="I39" i="1"/>
  <c r="I194" s="1"/>
  <c r="J173" i="2"/>
  <c r="J389"/>
  <c r="L171"/>
  <c r="T15" i="1"/>
  <c r="T125"/>
  <c r="K61"/>
  <c r="P87"/>
  <c r="P88" s="1"/>
  <c r="L47" i="2"/>
  <c r="I27" i="1"/>
  <c r="I137" s="1"/>
  <c r="J57" i="2"/>
  <c r="H208"/>
  <c r="J203"/>
  <c r="G27" i="1"/>
  <c r="G185" s="1"/>
  <c r="Q398" i="2"/>
  <c r="S340"/>
  <c r="R17" i="1"/>
  <c r="R127" s="1"/>
  <c r="U66" i="2"/>
  <c r="T17" i="1" s="1"/>
  <c r="E190"/>
  <c r="J53" i="5"/>
  <c r="H55"/>
  <c r="P166" i="1"/>
  <c r="U43" i="5"/>
  <c r="S88" i="4"/>
  <c r="S94"/>
  <c r="U62"/>
  <c r="R76" i="1"/>
  <c r="S64" i="4"/>
  <c r="S75"/>
  <c r="S42" i="5"/>
  <c r="Q49"/>
  <c r="P93" i="1"/>
  <c r="S281" i="2"/>
  <c r="Q287"/>
  <c r="J113" i="1"/>
  <c r="J184"/>
  <c r="J224" i="2"/>
  <c r="L222"/>
  <c r="R45" i="1"/>
  <c r="U135" i="2"/>
  <c r="H107" i="5"/>
  <c r="H147"/>
  <c r="G98" i="1"/>
  <c r="J104" i="5"/>
  <c r="R16" i="1"/>
  <c r="U65" i="2"/>
  <c r="T16" i="1"/>
  <c r="S166" i="2"/>
  <c r="S403"/>
  <c r="U156"/>
  <c r="R58" i="1"/>
  <c r="L20" i="4"/>
  <c r="I79" i="1"/>
  <c r="J24" i="4"/>
  <c r="U60" i="5"/>
  <c r="R111" i="1"/>
  <c r="S159" i="5"/>
  <c r="S63"/>
  <c r="P19" i="1"/>
  <c r="P129" s="1"/>
  <c r="S68" i="2"/>
  <c r="U158" i="5"/>
  <c r="T112" i="1"/>
  <c r="J230" i="2"/>
  <c r="L229"/>
  <c r="L230" s="1"/>
  <c r="S68" i="1"/>
  <c r="S200"/>
  <c r="Q208" i="2"/>
  <c r="S207"/>
  <c r="Q396"/>
  <c r="U186"/>
  <c r="T12" i="1" s="1"/>
  <c r="T122" s="1"/>
  <c r="R12"/>
  <c r="R122" s="1"/>
  <c r="N129"/>
  <c r="N199"/>
  <c r="O97" i="4"/>
  <c r="Q154" i="5"/>
  <c r="H375" i="2"/>
  <c r="E70" i="1"/>
  <c r="E180" s="1"/>
  <c r="D68"/>
  <c r="D147"/>
  <c r="D187"/>
  <c r="S330" i="2"/>
  <c r="U329"/>
  <c r="U330"/>
  <c r="J191" i="1"/>
  <c r="J235" i="2"/>
  <c r="G30" i="1"/>
  <c r="G140" s="1"/>
  <c r="H236" i="2"/>
  <c r="H384"/>
  <c r="U35" i="5"/>
  <c r="L127"/>
  <c r="J271" i="2"/>
  <c r="H383"/>
  <c r="H272"/>
  <c r="G38" i="1"/>
  <c r="E170"/>
  <c r="N154"/>
  <c r="J359" i="2"/>
  <c r="H385"/>
  <c r="G53" i="1"/>
  <c r="G190" s="1"/>
  <c r="L178" i="2"/>
  <c r="J180"/>
  <c r="E188" i="1"/>
  <c r="E149"/>
  <c r="E137"/>
  <c r="S309" i="2"/>
  <c r="P11" i="1"/>
  <c r="P121" s="1"/>
  <c r="Q313" i="2"/>
  <c r="Q68" i="1"/>
  <c r="P127"/>
  <c r="G79"/>
  <c r="H49" i="4"/>
  <c r="H74" s="1"/>
  <c r="J74" s="1"/>
  <c r="L74" s="1"/>
  <c r="P18" i="1"/>
  <c r="P128" s="1"/>
  <c r="S67" i="2"/>
  <c r="S394" s="1"/>
  <c r="Q394"/>
  <c r="Q342"/>
  <c r="Q343" s="1"/>
  <c r="J311"/>
  <c r="L311" s="1"/>
  <c r="L313" s="1"/>
  <c r="H313"/>
  <c r="E138" i="1"/>
  <c r="L47" i="5"/>
  <c r="L49" s="1"/>
  <c r="J49"/>
  <c r="L93" i="2"/>
  <c r="L106"/>
  <c r="J106"/>
  <c r="H381"/>
  <c r="H380"/>
  <c r="S18" i="5"/>
  <c r="U11"/>
  <c r="P197" i="1"/>
  <c r="G189"/>
  <c r="U68" i="2"/>
  <c r="T19" i="1" s="1"/>
  <c r="T129" s="1"/>
  <c r="R19"/>
  <c r="R129"/>
  <c r="L53" i="5"/>
  <c r="L55" s="1"/>
  <c r="J55"/>
  <c r="J313" i="2"/>
  <c r="U309"/>
  <c r="S313"/>
  <c r="L235"/>
  <c r="L236"/>
  <c r="J236"/>
  <c r="G70" i="1"/>
  <c r="G180" s="1"/>
  <c r="J375" i="2"/>
  <c r="U190"/>
  <c r="L271"/>
  <c r="I38" i="1"/>
  <c r="I188" s="1"/>
  <c r="J383" i="2"/>
  <c r="J272"/>
  <c r="T111" i="1"/>
  <c r="T208"/>
  <c r="U159" i="5"/>
  <c r="X159"/>
  <c r="U63"/>
  <c r="R87" i="1"/>
  <c r="K39"/>
  <c r="K194" s="1"/>
  <c r="L173" i="2"/>
  <c r="L389"/>
  <c r="X389" s="1"/>
  <c r="G87" i="1"/>
  <c r="S49" i="5"/>
  <c r="U42"/>
  <c r="U49" s="1"/>
  <c r="U207" i="2"/>
  <c r="S208"/>
  <c r="S396"/>
  <c r="R32" i="1"/>
  <c r="R142" s="1"/>
  <c r="T126"/>
  <c r="R154"/>
  <c r="R203"/>
  <c r="T76"/>
  <c r="T87" s="1"/>
  <c r="U64" i="4"/>
  <c r="U75"/>
  <c r="U88"/>
  <c r="G137" i="1"/>
  <c r="U67" i="2"/>
  <c r="R18" i="1"/>
  <c r="R128" s="1"/>
  <c r="G161"/>
  <c r="G188"/>
  <c r="G149"/>
  <c r="L24" i="4"/>
  <c r="K79" i="1"/>
  <c r="S75" i="2"/>
  <c r="U281"/>
  <c r="U287" s="1"/>
  <c r="S287"/>
  <c r="L203"/>
  <c r="K27" i="1" s="1"/>
  <c r="L208" i="2"/>
  <c r="J208"/>
  <c r="R166" i="1"/>
  <c r="R206"/>
  <c r="R126"/>
  <c r="L180" i="2"/>
  <c r="U18" i="5"/>
  <c r="L359" i="2"/>
  <c r="J385"/>
  <c r="I53" i="1"/>
  <c r="I190" s="1"/>
  <c r="U403" i="2"/>
  <c r="X403"/>
  <c r="T58" i="1"/>
  <c r="T166" s="1"/>
  <c r="U166" i="2"/>
  <c r="L104" i="5"/>
  <c r="I98" i="1"/>
  <c r="J107" i="5"/>
  <c r="J147"/>
  <c r="L224" i="2"/>
  <c r="S398"/>
  <c r="U340"/>
  <c r="J380"/>
  <c r="R342"/>
  <c r="T342" s="1"/>
  <c r="I149" i="1"/>
  <c r="R343" i="2"/>
  <c r="R373" s="1"/>
  <c r="L383"/>
  <c r="X383"/>
  <c r="K38" i="1"/>
  <c r="K149" s="1"/>
  <c r="L272" i="2"/>
  <c r="U94" i="4"/>
  <c r="V91"/>
  <c r="U313" i="2"/>
  <c r="S342"/>
  <c r="T18" i="1"/>
  <c r="U394" i="2"/>
  <c r="X394"/>
  <c r="L380"/>
  <c r="U75"/>
  <c r="U208"/>
  <c r="T32" i="1"/>
  <c r="U396" i="2"/>
  <c r="R88" i="1"/>
  <c r="I161"/>
  <c r="U398" i="2"/>
  <c r="X398"/>
  <c r="I185" i="1"/>
  <c r="L107" i="5"/>
  <c r="K98" i="1"/>
  <c r="L147" i="5"/>
  <c r="L385" i="2"/>
  <c r="X385"/>
  <c r="K53" i="1"/>
  <c r="K190" s="1"/>
  <c r="T45"/>
  <c r="T203" s="1"/>
  <c r="I70"/>
  <c r="I180" s="1"/>
  <c r="L375" i="2"/>
  <c r="K70" i="1" s="1"/>
  <c r="K180" s="1"/>
  <c r="X380" i="2"/>
  <c r="W147" i="5"/>
  <c r="T128" i="1"/>
  <c r="X396" i="2"/>
  <c r="S343"/>
  <c r="T142" i="1"/>
  <c r="Q88" l="1"/>
  <c r="Q176"/>
  <c r="F176"/>
  <c r="F177" s="1"/>
  <c r="L176"/>
  <c r="Q175"/>
  <c r="Q178" s="1"/>
  <c r="O175"/>
  <c r="O178" s="1"/>
  <c r="S87"/>
  <c r="S88" s="1"/>
  <c r="T154"/>
  <c r="K161"/>
  <c r="R199"/>
  <c r="T206"/>
  <c r="J169"/>
  <c r="N68"/>
  <c r="T207"/>
  <c r="L68"/>
  <c r="L175" s="1"/>
  <c r="L178" s="1"/>
  <c r="M68"/>
  <c r="M175" s="1"/>
  <c r="M178" s="1"/>
  <c r="S197"/>
  <c r="L154"/>
  <c r="K170"/>
  <c r="R205"/>
  <c r="K179"/>
  <c r="P207"/>
  <c r="D113"/>
  <c r="D176" s="1"/>
  <c r="P205"/>
  <c r="T159"/>
  <c r="N197"/>
  <c r="S199"/>
  <c r="Q121"/>
  <c r="F185"/>
  <c r="L206"/>
  <c r="N87"/>
  <c r="N88" s="1"/>
  <c r="F68"/>
  <c r="F174" s="1"/>
  <c r="C87"/>
  <c r="C176" s="1"/>
  <c r="Q202"/>
  <c r="D184"/>
  <c r="D195" s="1"/>
  <c r="M211" s="1"/>
  <c r="J162"/>
  <c r="H170"/>
  <c r="N123"/>
  <c r="O198"/>
  <c r="O209" s="1"/>
  <c r="L198"/>
  <c r="F188"/>
  <c r="M202"/>
  <c r="L199"/>
  <c r="F191"/>
  <c r="H140"/>
  <c r="H149"/>
  <c r="C189"/>
  <c r="C195" s="1"/>
  <c r="D193"/>
  <c r="Q205"/>
  <c r="Q209" s="1"/>
  <c r="S207"/>
  <c r="H84" i="4"/>
  <c r="Q97" s="1"/>
  <c r="J80"/>
  <c r="T343" i="2"/>
  <c r="T373" s="1"/>
  <c r="U342"/>
  <c r="U343" s="1"/>
  <c r="K137" i="1"/>
  <c r="K185"/>
  <c r="T127"/>
  <c r="T199"/>
  <c r="P203"/>
  <c r="P154"/>
  <c r="P68"/>
  <c r="T157"/>
  <c r="T205"/>
  <c r="P204"/>
  <c r="P159"/>
  <c r="H353" i="2"/>
  <c r="F382"/>
  <c r="F390" s="1"/>
  <c r="O406" s="1"/>
  <c r="O407" s="1"/>
  <c r="E37" i="1"/>
  <c r="Q360" i="2"/>
  <c r="Q373" s="1"/>
  <c r="S348"/>
  <c r="J216"/>
  <c r="H217"/>
  <c r="J163"/>
  <c r="G62" i="1"/>
  <c r="G169" s="1"/>
  <c r="H386" i="2"/>
  <c r="E169" i="1"/>
  <c r="E191"/>
  <c r="L46" i="2"/>
  <c r="J379"/>
  <c r="J37"/>
  <c r="H39"/>
  <c r="S25"/>
  <c r="Q26"/>
  <c r="J18"/>
  <c r="H20"/>
  <c r="S53" i="5"/>
  <c r="Q55"/>
  <c r="H30"/>
  <c r="J28"/>
  <c r="Q30"/>
  <c r="S23"/>
  <c r="J14"/>
  <c r="G97" i="1"/>
  <c r="H146" i="5"/>
  <c r="H18"/>
  <c r="D169" i="1"/>
  <c r="D191"/>
  <c r="H87"/>
  <c r="H176" s="1"/>
  <c r="H185"/>
  <c r="H195" s="1"/>
  <c r="Q211" s="1"/>
  <c r="J187"/>
  <c r="J147"/>
  <c r="L260" i="2"/>
  <c r="R207" i="1"/>
  <c r="W127" i="2"/>
  <c r="H190"/>
  <c r="J188"/>
  <c r="Q395"/>
  <c r="Q404" s="1"/>
  <c r="S116"/>
  <c r="Q137" i="5"/>
  <c r="S136"/>
  <c r="S112"/>
  <c r="Q153"/>
  <c r="Q160" s="1"/>
  <c r="P108" i="1"/>
  <c r="P201" s="1"/>
  <c r="S100" i="5"/>
  <c r="Q107"/>
  <c r="S89"/>
  <c r="P95" i="1"/>
  <c r="J70" i="5"/>
  <c r="L70" s="1"/>
  <c r="L75" s="1"/>
  <c r="H75"/>
  <c r="S36"/>
  <c r="Q37"/>
  <c r="J17"/>
  <c r="H149"/>
  <c r="G100" i="1"/>
  <c r="G186" s="1"/>
  <c r="G191"/>
  <c r="J174"/>
  <c r="J177" s="1"/>
  <c r="P208"/>
  <c r="H174"/>
  <c r="H177" s="1"/>
  <c r="J75" i="5"/>
  <c r="K29" i="1"/>
  <c r="K139" s="1"/>
  <c r="G26"/>
  <c r="N404" i="2"/>
  <c r="N407" s="1"/>
  <c r="L209" i="1"/>
  <c r="L88"/>
  <c r="M206"/>
  <c r="P149" i="2"/>
  <c r="P373" s="1"/>
  <c r="J195" i="1"/>
  <c r="O88"/>
  <c r="F195"/>
  <c r="I81" i="4"/>
  <c r="K82" i="1"/>
  <c r="I87"/>
  <c r="K87"/>
  <c r="M209"/>
  <c r="T88"/>
  <c r="N176"/>
  <c r="S209"/>
  <c r="S211" s="1"/>
  <c r="P199"/>
  <c r="S166"/>
  <c r="K188"/>
  <c r="N207"/>
  <c r="N209" s="1"/>
  <c r="N178" l="1"/>
  <c r="O211"/>
  <c r="L211"/>
  <c r="N175"/>
  <c r="S176"/>
  <c r="S175"/>
  <c r="C174"/>
  <c r="C177" s="1"/>
  <c r="D174"/>
  <c r="D177" s="1"/>
  <c r="I84" i="4"/>
  <c r="R97" s="1"/>
  <c r="J81"/>
  <c r="L81" s="1"/>
  <c r="G136" i="1"/>
  <c r="G184"/>
  <c r="L17" i="5"/>
  <c r="I100" i="1"/>
  <c r="J149" i="5"/>
  <c r="U36"/>
  <c r="R94" i="1"/>
  <c r="S37" i="5"/>
  <c r="U89"/>
  <c r="R95" i="1"/>
  <c r="R198" s="1"/>
  <c r="S95" i="5"/>
  <c r="U100"/>
  <c r="U107" s="1"/>
  <c r="S107"/>
  <c r="U136"/>
  <c r="U137" s="1"/>
  <c r="S137"/>
  <c r="U116" i="2"/>
  <c r="S395"/>
  <c r="S136"/>
  <c r="L188"/>
  <c r="L190" s="1"/>
  <c r="J190"/>
  <c r="U23" i="5"/>
  <c r="S30"/>
  <c r="R93" i="1"/>
  <c r="S154" i="5"/>
  <c r="J30"/>
  <c r="J148"/>
  <c r="I99" i="1"/>
  <c r="L28" i="5"/>
  <c r="J386" i="2"/>
  <c r="L163"/>
  <c r="I62" i="1"/>
  <c r="J166" i="2"/>
  <c r="J217"/>
  <c r="L216"/>
  <c r="I30" i="1"/>
  <c r="J384" i="2"/>
  <c r="H140" i="5"/>
  <c r="G113" i="1"/>
  <c r="G176" s="1"/>
  <c r="P113"/>
  <c r="P176" s="1"/>
  <c r="P198"/>
  <c r="U112" i="5"/>
  <c r="S153"/>
  <c r="S160" s="1"/>
  <c r="R108" i="1"/>
  <c r="R201" s="1"/>
  <c r="L14" i="5"/>
  <c r="J146"/>
  <c r="J151" s="1"/>
  <c r="S162" s="1"/>
  <c r="I97" i="1"/>
  <c r="J18" i="5"/>
  <c r="J140" s="1"/>
  <c r="S55"/>
  <c r="U53"/>
  <c r="U55" s="1"/>
  <c r="L18" i="2"/>
  <c r="J20"/>
  <c r="I28" i="1"/>
  <c r="J381" i="2"/>
  <c r="S26"/>
  <c r="U25"/>
  <c r="S392"/>
  <c r="S404" s="1"/>
  <c r="R11" i="1"/>
  <c r="J39" i="2"/>
  <c r="L37"/>
  <c r="L39" s="1"/>
  <c r="L379"/>
  <c r="K26" i="1"/>
  <c r="L57" i="2"/>
  <c r="U348"/>
  <c r="U360" s="1"/>
  <c r="S360"/>
  <c r="E147" i="1"/>
  <c r="E187"/>
  <c r="E195" s="1"/>
  <c r="N211" s="1"/>
  <c r="E68"/>
  <c r="E174" s="1"/>
  <c r="E177" s="1"/>
  <c r="J353" i="2"/>
  <c r="G37" i="1"/>
  <c r="H360" i="2"/>
  <c r="H372" s="1"/>
  <c r="H382"/>
  <c r="H390" s="1"/>
  <c r="Q406" s="1"/>
  <c r="Q407" s="1"/>
  <c r="L80" i="4"/>
  <c r="L84" s="1"/>
  <c r="U97" s="1"/>
  <c r="J84"/>
  <c r="S97" s="1"/>
  <c r="P209" i="1"/>
  <c r="H151" i="5"/>
  <c r="Q162" s="1"/>
  <c r="Q141"/>
  <c r="P175" i="1"/>
  <c r="P178" s="1"/>
  <c r="S178" l="1"/>
  <c r="L353" i="2"/>
  <c r="J382"/>
  <c r="J390" s="1"/>
  <c r="S406" s="1"/>
  <c r="S407" s="1"/>
  <c r="J360"/>
  <c r="I37" i="1"/>
  <c r="I68" s="1"/>
  <c r="I174" s="1"/>
  <c r="I177" s="1"/>
  <c r="X379" i="2"/>
  <c r="G187" i="1"/>
  <c r="G147"/>
  <c r="K136"/>
  <c r="I138"/>
  <c r="I186"/>
  <c r="L381" i="2"/>
  <c r="X381" s="1"/>
  <c r="L20"/>
  <c r="K28" i="1"/>
  <c r="I184"/>
  <c r="I113"/>
  <c r="I176" s="1"/>
  <c r="K97"/>
  <c r="L18" i="5"/>
  <c r="L146"/>
  <c r="K30" i="1"/>
  <c r="L217" i="2"/>
  <c r="L384"/>
  <c r="X384" s="1"/>
  <c r="L386"/>
  <c r="X386" s="1"/>
  <c r="L166"/>
  <c r="K62" i="1"/>
  <c r="K99"/>
  <c r="L30" i="5"/>
  <c r="L148"/>
  <c r="W148" s="1"/>
  <c r="S149" i="2"/>
  <c r="S373" s="1"/>
  <c r="R132" i="1"/>
  <c r="F65" i="9" s="1"/>
  <c r="R24" i="1"/>
  <c r="R200" s="1"/>
  <c r="W118" i="2"/>
  <c r="W120" s="1"/>
  <c r="U395"/>
  <c r="U136"/>
  <c r="T94" i="1"/>
  <c r="U37" i="5"/>
  <c r="S141"/>
  <c r="G195" i="1"/>
  <c r="P211" s="1"/>
  <c r="G68"/>
  <c r="G174" s="1"/>
  <c r="G177" s="1"/>
  <c r="R121"/>
  <c r="R68"/>
  <c r="R197"/>
  <c r="U26" i="2"/>
  <c r="T11" i="1"/>
  <c r="U392" i="2"/>
  <c r="U153" i="5"/>
  <c r="T108" i="1"/>
  <c r="T201" s="1"/>
  <c r="I140"/>
  <c r="I189"/>
  <c r="I191"/>
  <c r="I169"/>
  <c r="U30" i="5"/>
  <c r="T93" i="1"/>
  <c r="U154" i="5"/>
  <c r="X154" s="1"/>
  <c r="T95" i="1"/>
  <c r="T198" s="1"/>
  <c r="U95" i="5"/>
  <c r="L149"/>
  <c r="W149" s="1"/>
  <c r="K100" i="1"/>
  <c r="J372" i="2"/>
  <c r="R113" i="1"/>
  <c r="R176" s="1"/>
  <c r="U160" i="5" l="1"/>
  <c r="X153"/>
  <c r="X160" s="1"/>
  <c r="U404" i="2"/>
  <c r="X404" s="1"/>
  <c r="X392"/>
  <c r="X395"/>
  <c r="Y396" s="1"/>
  <c r="V396"/>
  <c r="K169" i="1"/>
  <c r="K191"/>
  <c r="W146" i="5"/>
  <c r="W150" s="1"/>
  <c r="L151"/>
  <c r="U162" s="1"/>
  <c r="I187" i="1"/>
  <c r="I195" s="1"/>
  <c r="I147"/>
  <c r="T121"/>
  <c r="T197"/>
  <c r="U149" i="2"/>
  <c r="U373" s="1"/>
  <c r="T24" i="1"/>
  <c r="T200" s="1"/>
  <c r="T132"/>
  <c r="K189"/>
  <c r="K140"/>
  <c r="K138"/>
  <c r="K186"/>
  <c r="K37"/>
  <c r="L360" i="2"/>
  <c r="L382"/>
  <c r="U141" i="5"/>
  <c r="R175" i="1"/>
  <c r="R178" s="1"/>
  <c r="K113"/>
  <c r="K176" s="1"/>
  <c r="L372" i="2"/>
  <c r="K184" i="1"/>
  <c r="T113"/>
  <c r="T176" s="1"/>
  <c r="R209"/>
  <c r="L140" i="5"/>
  <c r="K68" i="1"/>
  <c r="T209" l="1"/>
  <c r="X382" i="2"/>
  <c r="X390" s="1"/>
  <c r="L390"/>
  <c r="U406" s="1"/>
  <c r="U407" s="1"/>
  <c r="K147" i="1"/>
  <c r="K187"/>
  <c r="K174"/>
  <c r="K177" s="1"/>
  <c r="K195"/>
  <c r="T211" s="1"/>
  <c r="R211"/>
  <c r="T68"/>
  <c r="T175" s="1"/>
  <c r="T178" s="1"/>
</calcChain>
</file>

<file path=xl/sharedStrings.xml><?xml version="1.0" encoding="utf-8"?>
<sst xmlns="http://schemas.openxmlformats.org/spreadsheetml/2006/main" count="4021" uniqueCount="1715">
  <si>
    <r>
      <t xml:space="preserve">Kormányzati funkció: 013350 Az önkormányzati vagyonnal kapcsolatos feladatok </t>
    </r>
    <r>
      <rPr>
        <sz val="8"/>
        <rFont val="Arial CE"/>
        <charset val="238"/>
      </rPr>
      <t>(680002 - Nem lakóigatlan bérbeadása)</t>
    </r>
  </si>
  <si>
    <r>
      <t xml:space="preserve">Kormányzati funkció: 106010 Lakóingatlan szociális célú bérbeadása, üzemeltetése </t>
    </r>
    <r>
      <rPr>
        <sz val="8"/>
        <rFont val="Arial CE"/>
        <charset val="238"/>
      </rPr>
      <t>(680001 - Lakóingatlan bérbeadás)</t>
    </r>
  </si>
  <si>
    <r>
      <t xml:space="preserve">Kormányzati funkció: 064010 Közvilágítás </t>
    </r>
    <r>
      <rPr>
        <sz val="8"/>
        <rFont val="Arial CE"/>
        <charset val="238"/>
      </rPr>
      <t>(841402 - Közvilágítás)</t>
    </r>
  </si>
  <si>
    <r>
      <t xml:space="preserve">Kormányzati funkció: 066020 -Város-, községgazdálkodási egyéb szolgáltatások </t>
    </r>
    <r>
      <rPr>
        <sz val="8"/>
        <rFont val="Arial CE"/>
        <charset val="238"/>
      </rPr>
      <t>(841403 - Községgazdálkodás és m.n.s szolgáltatás)</t>
    </r>
  </si>
  <si>
    <r>
      <t xml:space="preserve">Kormányzati funkció: 018010 Önkormányzatok elszámolásai a központi költségvetéssel </t>
    </r>
    <r>
      <rPr>
        <sz val="8"/>
        <rFont val="Arial CE"/>
        <charset val="238"/>
      </rPr>
      <t>(841901 - Önkormányzatok elszámolásai)</t>
    </r>
  </si>
  <si>
    <r>
      <t xml:space="preserve">Kormányzati funkció: 045160 Közutak, hidak, alagutak üzemeltetése, fenntartása </t>
    </r>
    <r>
      <rPr>
        <sz val="8"/>
        <rFont val="Arial CE"/>
        <charset val="238"/>
      </rPr>
      <t>(522001 - Közutak üzemeltetése)</t>
    </r>
  </si>
  <si>
    <r>
      <t>Kormányzati funkció: 083030 Egyéb kiadói tevékenység</t>
    </r>
    <r>
      <rPr>
        <sz val="8"/>
        <rFont val="Arial CE"/>
        <charset val="238"/>
      </rPr>
      <t xml:space="preserve"> (581400 - Folyóirat, időszaki kiadvány)</t>
    </r>
  </si>
  <si>
    <t>2014. évi funkció csoport</t>
  </si>
  <si>
    <t>0451</t>
  </si>
  <si>
    <t>0830</t>
  </si>
  <si>
    <t>0133</t>
  </si>
  <si>
    <t>1060</t>
  </si>
  <si>
    <t>0660</t>
  </si>
  <si>
    <r>
      <t xml:space="preserve">Kormányzati funkció: 066010 Zöldterület-kezelés </t>
    </r>
    <r>
      <rPr>
        <sz val="8"/>
        <rFont val="Arial CE"/>
        <charset val="238"/>
      </rPr>
      <t>(813000 - Zöldterület kezelése)</t>
    </r>
  </si>
  <si>
    <t>0111</t>
  </si>
  <si>
    <r>
      <t xml:space="preserve">Kormányzati funkció: 011130 Önkormányzatok és önkormányzati hivatalok jogalkotó és általános igazgatási tevékenysége </t>
    </r>
    <r>
      <rPr>
        <sz val="8"/>
        <rFont val="Arial CE"/>
        <charset val="238"/>
      </rPr>
      <t>(841112-2 Önkormányzati jogalkotás)</t>
    </r>
  </si>
  <si>
    <r>
      <t>Kormányzati funkció: 011110 Államhatalmi szervek tevékenysége</t>
    </r>
    <r>
      <rPr>
        <sz val="8"/>
        <rFont val="Arial CE"/>
        <charset val="238"/>
      </rPr>
      <t xml:space="preserve"> (841113 - Adók beszedése, ellenőrzése)</t>
    </r>
  </si>
  <si>
    <t>0640</t>
  </si>
  <si>
    <t>0180</t>
  </si>
  <si>
    <t>9000</t>
  </si>
  <si>
    <r>
      <t xml:space="preserve">Kormányzati funkció: 900060 Forgatási és befektetési célú finanszírozási műveletek </t>
    </r>
    <r>
      <rPr>
        <sz val="8"/>
        <rFont val="Arial CE"/>
        <charset val="238"/>
      </rPr>
      <t>(841906-9 Finanszírozási műveletek)</t>
    </r>
  </si>
  <si>
    <r>
      <t>Kormányzati funkció: 018030 Támogatási célú finanszírozási műveletek</t>
    </r>
    <r>
      <rPr>
        <sz val="8"/>
        <rFont val="Arial"/>
        <family val="2"/>
        <charset val="238"/>
      </rPr>
      <t xml:space="preserve"> (841907 Önkormányzatok elszámolásai költségvetési szerveikkel)</t>
    </r>
  </si>
  <si>
    <t>0474</t>
  </si>
  <si>
    <r>
      <t>Kormányzati funkció: 047410 Ár- és belvízvédelemmel összefüggő tevékenységek</t>
    </r>
    <r>
      <rPr>
        <sz val="8"/>
        <rFont val="Arial"/>
        <family val="2"/>
        <charset val="238"/>
      </rPr>
      <t xml:space="preserve"> (842541 Ár- és belvízi védekezés)</t>
    </r>
  </si>
  <si>
    <t>0721</t>
  </si>
  <si>
    <r>
      <t>Kormányzati funkció: 072111 Háziorvosi alapellátás</t>
    </r>
    <r>
      <rPr>
        <sz val="8"/>
        <rFont val="Arial"/>
        <family val="2"/>
        <charset val="238"/>
      </rPr>
      <t xml:space="preserve"> (862101 - Háziorvosi alapellátás)</t>
    </r>
  </si>
  <si>
    <t>0723</t>
  </si>
  <si>
    <r>
      <t>Kormányzati funkció: 072311 Fogorvosi alapellátás</t>
    </r>
    <r>
      <rPr>
        <sz val="8"/>
        <rFont val="Arial"/>
        <family val="2"/>
        <charset val="238"/>
      </rPr>
      <t xml:space="preserve"> (862301 - Fogorvosi alapellátás)</t>
    </r>
  </si>
  <si>
    <t>0740</t>
  </si>
  <si>
    <r>
      <t>Kormányzati funkció: 074031 Család- és nővédelmi egészségügyi gondozás</t>
    </r>
    <r>
      <rPr>
        <sz val="8"/>
        <rFont val="Arial CE"/>
        <charset val="238"/>
      </rPr>
      <t xml:space="preserve"> (869041 - Család és nővédelmi ellátás)</t>
    </r>
  </si>
  <si>
    <r>
      <t xml:space="preserve">Kormányzati funkció: 101150 Betegséggel kapcsolatos pénzbeli ellátások, támogatások, 101231 Fogyatékossággal összefüggő pénzbeli ellátások, támogatások </t>
    </r>
    <r>
      <rPr>
        <sz val="8"/>
        <rFont val="Arial CE"/>
        <charset val="238"/>
      </rPr>
      <t>(882116 - Ápolási díj méltányos)</t>
    </r>
  </si>
  <si>
    <t>1011   1012</t>
  </si>
  <si>
    <t>1070</t>
  </si>
  <si>
    <r>
      <t xml:space="preserve">Kormányzati funkció: 107060 Egyéb szociális pénzbeli ellátások, támogatások </t>
    </r>
    <r>
      <rPr>
        <sz val="8"/>
        <rFont val="Arial CE"/>
        <charset val="238"/>
      </rPr>
      <t>(882122 - Átmeneti segély pénzbeli)</t>
    </r>
  </si>
  <si>
    <r>
      <t>Kormányzati funkció: 103010 Elhunyt személyek hátramaradottainak pénzbeli ellátása</t>
    </r>
    <r>
      <rPr>
        <sz val="8"/>
        <rFont val="Arial CE"/>
        <charset val="238"/>
      </rPr>
      <t xml:space="preserve"> (882123 - Temetési segély pénzbeli)</t>
    </r>
  </si>
  <si>
    <t>1040</t>
  </si>
  <si>
    <r>
      <t xml:space="preserve">Kormányzati funkció: 104051 Gyermekvédelmi pénzbeli és természetbeni ellátások </t>
    </r>
    <r>
      <rPr>
        <sz val="8"/>
        <rFont val="Arial CE"/>
        <charset val="238"/>
      </rPr>
      <t>(882124 - Rendkívüli gyermekvédelmi ellátás)</t>
    </r>
  </si>
  <si>
    <r>
      <rPr>
        <b/>
        <i/>
        <sz val="8"/>
        <rFont val="Arial CE"/>
        <charset val="238"/>
      </rPr>
      <t>Kormányzati funkció: 0140…… konkrét megnevezés</t>
    </r>
    <r>
      <rPr>
        <b/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>(882129 Egyéb önkormányzati eseti ellátások)</t>
    </r>
  </si>
  <si>
    <r>
      <t xml:space="preserve">Kormányzati funkció: 106020 Lakásfenntartással, lakhatással összefüggő ellátások </t>
    </r>
    <r>
      <rPr>
        <sz val="8"/>
        <rFont val="Arial CE"/>
        <charset val="238"/>
      </rPr>
      <t>(882201 - Adósságkezelési szolgáltatás)</t>
    </r>
  </si>
  <si>
    <r>
      <t xml:space="preserve">Kormányzati funkció: 107060 Egyéb szociális természetbeni és pénzbeli ellátások </t>
    </r>
    <r>
      <rPr>
        <sz val="8"/>
        <rFont val="Arial CE"/>
        <charset val="238"/>
      </rPr>
      <t>(882203 - Köztemetés)</t>
    </r>
  </si>
  <si>
    <r>
      <t>Kormányzati funkció: 104042 Gyermekjóléti szolgáltatások</t>
    </r>
    <r>
      <rPr>
        <sz val="8"/>
        <rFont val="Arial CE"/>
        <charset val="238"/>
      </rPr>
      <t xml:space="preserve"> (889201 - Gyermekjóléti szolgáltatás)</t>
    </r>
  </si>
  <si>
    <r>
      <t xml:space="preserve">Kormányzati funkció: 107054 Családsegítés </t>
    </r>
    <r>
      <rPr>
        <sz val="8"/>
        <rFont val="Arial CE"/>
        <charset val="238"/>
      </rPr>
      <t>(889924 - Családsegítő szolgálat)</t>
    </r>
  </si>
  <si>
    <t>0840</t>
  </si>
  <si>
    <r>
      <t xml:space="preserve">Kormányzati funkció: 084031 Civil szervezetek működési támogatása </t>
    </r>
    <r>
      <rPr>
        <sz val="8"/>
        <rFont val="Arial CE"/>
        <charset val="238"/>
      </rPr>
      <t>(890301 -Civil szervezetek működési támogatása)</t>
    </r>
  </si>
  <si>
    <t>0412</t>
  </si>
  <si>
    <r>
      <t xml:space="preserve">Kormányzati funkció: 041231 Hosszabb időtartamú közfoglalkoztatás </t>
    </r>
    <r>
      <rPr>
        <sz val="8"/>
        <rFont val="Arial"/>
        <family val="2"/>
        <charset val="238"/>
      </rPr>
      <t>(890442 Foglalkoztatást helyettesítő támogatásra jogosultak hosszabb időtartamú közfoglalkoztatása)</t>
    </r>
  </si>
  <si>
    <r>
      <t xml:space="preserve">Kormányzati funkció: 041236 Országos közfoglalkoztatási program </t>
    </r>
    <r>
      <rPr>
        <sz val="8"/>
        <rFont val="Arial CE"/>
        <charset val="238"/>
      </rPr>
      <t>(890443-1 Egyéb közfoglalkoztatás)</t>
    </r>
  </si>
  <si>
    <r>
      <t>Kormányzati funkció: 013320 Köztemető fenntartás és működtetés</t>
    </r>
    <r>
      <rPr>
        <sz val="8"/>
        <rFont val="Arial CE"/>
        <charset val="238"/>
      </rPr>
      <t xml:space="preserve"> (960302 - Köztemető fenntartás)</t>
    </r>
  </si>
  <si>
    <t>0540</t>
  </si>
  <si>
    <t>0820</t>
  </si>
  <si>
    <r>
      <t xml:space="preserve">Kormányzati funkció: 082091 Közművelődés - közösségi és társadalmi részvétel fejlesztése, 082092 - Közművelődés - hagyományos közösségi kulturális értékek gondozása </t>
    </r>
    <r>
      <rPr>
        <sz val="8"/>
        <rFont val="Arial"/>
        <family val="2"/>
        <charset val="238"/>
      </rPr>
      <t>(910502- Közművelődési intézmények működtetése)</t>
    </r>
  </si>
  <si>
    <t>0630</t>
  </si>
  <si>
    <r>
      <t xml:space="preserve">Kormányzati funkció: 063020 Víztermelés, -kezelés,-ellátás </t>
    </r>
    <r>
      <rPr>
        <sz val="8"/>
        <rFont val="Arial"/>
        <family val="2"/>
        <charset val="238"/>
      </rPr>
      <t>(360000 Víztermelés, -kezelés, -ellátás)</t>
    </r>
  </si>
  <si>
    <t>0520</t>
  </si>
  <si>
    <r>
      <t xml:space="preserve">Kormányzati funkció: 052020 Szennyvíz gyűjtése, tisztítása, elhelyezése </t>
    </r>
    <r>
      <rPr>
        <sz val="8"/>
        <rFont val="Arial"/>
        <family val="2"/>
        <charset val="238"/>
      </rPr>
      <t>(370000 Szennyvíz gyűjtése, tisztítása, elhelyezése)</t>
    </r>
  </si>
  <si>
    <r>
      <t>Kormányzati funkció: 096020 Iskolai inétzményi étkeztetés</t>
    </r>
    <r>
      <rPr>
        <sz val="8"/>
        <rFont val="Arial CE"/>
        <charset val="238"/>
      </rPr>
      <t xml:space="preserve"> (562913 - Iskolai intézményi étkeztetés)</t>
    </r>
  </si>
  <si>
    <t>0960</t>
  </si>
  <si>
    <r>
      <t xml:space="preserve">Kormányzati funkció: 096010 Óvodai intézményi étkeztetés </t>
    </r>
    <r>
      <rPr>
        <sz val="8"/>
        <rFont val="Arial CE"/>
        <charset val="238"/>
      </rPr>
      <t>(562912 - Óvodai intézményi étkeztetés)</t>
    </r>
  </si>
  <si>
    <t>Funkcióba nem sorolt</t>
  </si>
  <si>
    <r>
      <t xml:space="preserve">562917 - Munkahelyi étkeztetés </t>
    </r>
    <r>
      <rPr>
        <sz val="8"/>
        <rFont val="Arial CE"/>
        <charset val="238"/>
      </rPr>
      <t>(Önmagában nem közfeladat, alaptevékenység szerinti funkcióhoz)</t>
    </r>
  </si>
  <si>
    <r>
      <t>562920 - Egyéb vendéglátás</t>
    </r>
    <r>
      <rPr>
        <sz val="8"/>
        <rFont val="Arial CE"/>
        <charset val="238"/>
      </rPr>
      <t xml:space="preserve"> (nem közfeladat)</t>
    </r>
  </si>
  <si>
    <r>
      <t xml:space="preserve">Kormányzati funkció: 054020 Védett természeti területek és természeti értékek bemutatása, megőrzése és fenntartása </t>
    </r>
    <r>
      <rPr>
        <sz val="8"/>
        <rFont val="Arial CE"/>
        <charset val="238"/>
      </rPr>
      <t xml:space="preserve">(910421 -  Erdei iskola) </t>
    </r>
  </si>
  <si>
    <t>0911</t>
  </si>
  <si>
    <r>
      <t xml:space="preserve">Kormányzati funkció: 091110 Óvodai nevelés, ellátás szakmai feladatai, 091140 Óvodai nevelés, ellátás működtetési feladatai </t>
    </r>
    <r>
      <rPr>
        <sz val="8"/>
        <rFont val="Arial"/>
        <family val="2"/>
        <charset val="238"/>
      </rPr>
      <t>(851011 - Óvodai nevelés, ellátás)</t>
    </r>
  </si>
  <si>
    <r>
      <t xml:space="preserve">Kormányzati funkció: 091120 Sajátos nevelési igényű gyermekek óvodai nevelésének, ellátásának szakmai feladatai </t>
    </r>
    <r>
      <rPr>
        <sz val="8"/>
        <rFont val="Arial"/>
        <family val="2"/>
        <charset val="238"/>
      </rPr>
      <t>(851012 SNI gyermek óvodai nevelése, ellátása)</t>
    </r>
  </si>
  <si>
    <r>
      <t>Kormányzati funkció: 082044 Könyvtári szolgáltatások</t>
    </r>
    <r>
      <rPr>
        <sz val="8"/>
        <rFont val="Arial CE"/>
        <charset val="238"/>
      </rPr>
      <t xml:space="preserve"> (910123 - Könyvtári szolgáltatások)</t>
    </r>
  </si>
  <si>
    <r>
      <t xml:space="preserve">Kormányzati funkció: 102030 Idősek, demens betegek nappali ellátása </t>
    </r>
    <r>
      <rPr>
        <sz val="8"/>
        <rFont val="Arial"/>
        <family val="2"/>
        <charset val="238"/>
      </rPr>
      <t>(881011 - Idősek nappali ellátása)</t>
    </r>
  </si>
  <si>
    <r>
      <t xml:space="preserve">Kormányzati funkció: 107051 Szociális étkeztetés </t>
    </r>
    <r>
      <rPr>
        <sz val="8"/>
        <rFont val="Arial"/>
        <family val="2"/>
        <charset val="238"/>
      </rPr>
      <t>(889921 - Szociális étkeztetés)</t>
    </r>
  </si>
  <si>
    <r>
      <t xml:space="preserve">Kormányzati funkció: 107052 Házi segítségnyújtás </t>
    </r>
    <r>
      <rPr>
        <sz val="8"/>
        <rFont val="Arial"/>
        <family val="2"/>
        <charset val="238"/>
      </rPr>
      <t>(889922 - Házi segítségnyújtás)</t>
    </r>
  </si>
  <si>
    <r>
      <t xml:space="preserve">Kormányzati funkció: 107055 Falugondnoki, tanyagondnoki szolgáltatás </t>
    </r>
    <r>
      <rPr>
        <sz val="8"/>
        <rFont val="Arial CE"/>
        <charset val="238"/>
      </rPr>
      <t>(889928 - Falugondnoki, tanyagondnoki szolgáltatás)</t>
    </r>
  </si>
  <si>
    <t xml:space="preserve">A 2013. évi CCXXX.  törvény  Magyarország 2014. évi költségvetéséről szóló törvény alapján Mártély Község Önkormányzatát megillető normatív támogatások    </t>
  </si>
  <si>
    <t>K11-K12</t>
  </si>
  <si>
    <t>B15</t>
  </si>
  <si>
    <t>Egyéb működési célú támogatások ÁH-on belülről</t>
  </si>
  <si>
    <t>CSVKT megszűnése miatt jogutódlás Unicredit Bank lejárt tőketartozás 81 388 eft, késedelmi kamat 13 470 e ft</t>
  </si>
  <si>
    <t>Local Agenda 21 fenntartható fejlődés helyi programjainak elkészítése</t>
  </si>
  <si>
    <t>Egyéb működési célú átvett pe.ÁH-on belül</t>
  </si>
  <si>
    <t>Beruházások</t>
  </si>
  <si>
    <t>Intézmény finanszírozás (ebből normatív állami támogatás 11.286 e ft, önkormányzati támogatás 2.536 e ft)</t>
  </si>
  <si>
    <t>B402, B405</t>
  </si>
  <si>
    <t>Tulajdonosi bevételek (bérleti díjak)</t>
  </si>
  <si>
    <t>Tőketartozás 2014.01.01</t>
  </si>
  <si>
    <t>Kamat 2014.01.01</t>
  </si>
  <si>
    <t>Szegvár és Vidéke Takarékszövetkezet: szerz.kötés: 2011.12.13. (szerződés szerinti összeg: 7.500.000)         57200172-60000044</t>
  </si>
  <si>
    <t xml:space="preserve">Szerződés </t>
  </si>
  <si>
    <t>Szegvár és Vidéke Takarékszövetkezet: szerz.kötés: 2013.01.16 (szerződés szerinti összeg: 11.100.000)   57200172-60000154</t>
  </si>
  <si>
    <t>UniCredit Bank Hungary Zrt  szerz.kötés: 2010.03.31 (szerződés szerinti összeg: 318.582.024)Mártély Csatornaberuházó Víziközmű Társulat jogutódja 2013.11.08-tól</t>
  </si>
  <si>
    <t>Hitelek összesen (tőketartozás+kamat) 2014. 01. 01-én:</t>
  </si>
  <si>
    <t>2014. évi törlesztő részlet</t>
  </si>
  <si>
    <t>Tőketartozás 2014.12.31</t>
  </si>
  <si>
    <t>Egyéb működési célú támogatások bevételei ÁH-on belülről (MVH erdei iskola pály.)</t>
  </si>
  <si>
    <t>Egyéb felhalmozási célú támogatások bevételei ÁH-on belülről (Faluház felújítása záróelszámolás)</t>
  </si>
  <si>
    <t>B5</t>
  </si>
  <si>
    <t>Tervezett pályázati kiadás 2014. évben</t>
  </si>
  <si>
    <t>Tervezett pályázati bevételek 2014. évben</t>
  </si>
  <si>
    <t>A Mártély Fő u. 49. szám alatti Faluház részleges felújítása, akadálymentesítése. A tartalmi elemek: tanoda, korai fejlesztés, közösségfejlesztés, ifjúsági szolgáltatások, lakossági tanácsadás céljait szolgáló eszközök és bútorok beszerzése, egy fő munkabére. Záróelszámolás elfogadása folyamatban van, a támogatás kiutalása után kerül visszafizetésre a támogatást megelőlegező hitel.</t>
  </si>
  <si>
    <t>A program megvalósításának határideje 2013.09.01-2014. 08.31. 2013-ban 2 495 647 forint előleg folyósítására került sor, amelyet a pályázatra kell fordítani, a program 100 %-os támogatottságú. Személyi jellegű kiadásokra (projektmenedzsment) és előadásokra, konferenciákra, rendezvényekre lehet fordítani.</t>
  </si>
  <si>
    <t>A 2013-2014 évi saját erő összegét a településeknek meg kell előlegezniük, az EU Önerő Alap rendelet február-március hóban jelenik meg. A 6/2012. (III.01.) BM rendelet 100 %-ban biztosítja a program megvalósulását, a megelőlegezéshez szükséges a tervezett kölcsön, amelyet nem egy összegben, hanem részletekben kell esetleges pénzügyileg teljesíteni.</t>
  </si>
  <si>
    <t>Munkaadói járulékok,szociális hozzájárulási adó</t>
  </si>
  <si>
    <t>Dologi kiadűások és különféle befizetések, egyéb dologi</t>
  </si>
  <si>
    <t>Egyéb működési célú átadott pénzeszközök ÁH-on kívülre</t>
  </si>
  <si>
    <t>Központi, irányító szervi támogaás</t>
  </si>
  <si>
    <t>Működési célú támogatások Áh-on belülről (normatív állami támogatások)</t>
  </si>
  <si>
    <t>Működési célú támogatásk ÁH-on belülről</t>
  </si>
  <si>
    <t>Egyéb működési célú támogatások, átvett pe.ÁH-on kívülről</t>
  </si>
  <si>
    <t>Egyéb felhalmozási célú támogatások ÁH-on belülről</t>
  </si>
  <si>
    <t xml:space="preserve">A helyi önkormáynzatok által felhasználható központosított előirányzatok                                                       </t>
  </si>
  <si>
    <t>Normatív állami támogatások összesen</t>
  </si>
  <si>
    <t>Kamatfizetés alapja</t>
  </si>
  <si>
    <t>kamat-fizetési időtartam</t>
  </si>
  <si>
    <t>kamat-fizetési napok száma</t>
  </si>
  <si>
    <t>kamat napi összege</t>
  </si>
  <si>
    <t>Kamatok összesen</t>
  </si>
  <si>
    <t>2009.03.21-2013.12.31</t>
  </si>
  <si>
    <t>ÖF/1601/2013</t>
  </si>
  <si>
    <t>8.sz.melléklet</t>
  </si>
  <si>
    <t>Leltári szám</t>
  </si>
  <si>
    <t>Főkönyv</t>
  </si>
  <si>
    <t>Megnevezés: Mártély Község ingatlan vagyona</t>
  </si>
  <si>
    <t>Bruttó érték</t>
  </si>
  <si>
    <t>ÉCS</t>
  </si>
  <si>
    <t>Nettó érték</t>
  </si>
  <si>
    <t>Esetlegesen értékesíthető: könyv szerinti érték</t>
  </si>
  <si>
    <t>003</t>
  </si>
  <si>
    <t>12111</t>
  </si>
  <si>
    <t>Közpark, Rákóczi tér</t>
  </si>
  <si>
    <t>004</t>
  </si>
  <si>
    <t>Közterület, Rákóczi tér 3.</t>
  </si>
  <si>
    <t>005</t>
  </si>
  <si>
    <t>Közterület, Béke u.</t>
  </si>
  <si>
    <t>006</t>
  </si>
  <si>
    <t>Közterület, Tornyai J. u.</t>
  </si>
  <si>
    <t>007</t>
  </si>
  <si>
    <t>Közterület, Széchenyi u.</t>
  </si>
  <si>
    <t>008</t>
  </si>
  <si>
    <t>009</t>
  </si>
  <si>
    <t>Közterület, Községház u.</t>
  </si>
  <si>
    <t>010</t>
  </si>
  <si>
    <t>Közterület, Szántó K. J. u.</t>
  </si>
  <si>
    <t>011</t>
  </si>
  <si>
    <t>Közterület, Kör út</t>
  </si>
  <si>
    <t>012</t>
  </si>
  <si>
    <t>107. hrsz. út</t>
  </si>
  <si>
    <t>013</t>
  </si>
  <si>
    <t>108. hrsz. közút</t>
  </si>
  <si>
    <t>014</t>
  </si>
  <si>
    <t>015</t>
  </si>
  <si>
    <t>109. hrsz. közterület, Táncsics M. u.</t>
  </si>
  <si>
    <t>016</t>
  </si>
  <si>
    <t>125. hrsz. közút</t>
  </si>
  <si>
    <t>017</t>
  </si>
  <si>
    <t>136. hrsz. közterület, Dózsa Gy. u.</t>
  </si>
  <si>
    <t>018</t>
  </si>
  <si>
    <t>142 hrsz. közterület, Dózsa Gy. u.</t>
  </si>
  <si>
    <t>019</t>
  </si>
  <si>
    <t>169. hrsz. csatorna, belterület</t>
  </si>
  <si>
    <t>020</t>
  </si>
  <si>
    <t>184. hrsz. közterület, Tiszai u.</t>
  </si>
  <si>
    <t>021</t>
  </si>
  <si>
    <t>207. hrsz. közterület, Petőfi S. u.</t>
  </si>
  <si>
    <t>022</t>
  </si>
  <si>
    <t>208. hrsz. közút, gátfelhajtó</t>
  </si>
  <si>
    <t>023</t>
  </si>
  <si>
    <t>234. hrsz. közterület, Petőfi S. u.</t>
  </si>
  <si>
    <t>024</t>
  </si>
  <si>
    <t>242. hrsz. járda, belterület</t>
  </si>
  <si>
    <t>025</t>
  </si>
  <si>
    <t>026</t>
  </si>
  <si>
    <t>027</t>
  </si>
  <si>
    <t>028</t>
  </si>
  <si>
    <t>274. hrsz. közút, belterület</t>
  </si>
  <si>
    <t>029</t>
  </si>
  <si>
    <t>275. hrsz. közterület, Rákóczi u.</t>
  </si>
  <si>
    <t>030</t>
  </si>
  <si>
    <t>297. hrsz. közterület, Ady E. u.</t>
  </si>
  <si>
    <t>031</t>
  </si>
  <si>
    <t>298.hrsz.csatona,belterület</t>
  </si>
  <si>
    <t>032</t>
  </si>
  <si>
    <t>301. hrsz. közterület, Kossuth L. u.</t>
  </si>
  <si>
    <t>033</t>
  </si>
  <si>
    <t>302. hrsz. csatorna, belterület</t>
  </si>
  <si>
    <t>034</t>
  </si>
  <si>
    <t>308. hrsz. járda, belterület</t>
  </si>
  <si>
    <t>035</t>
  </si>
  <si>
    <t>310. hrsz. közút, belterület</t>
  </si>
  <si>
    <t>037</t>
  </si>
  <si>
    <t>321. hrsz. csatorna, belterület</t>
  </si>
  <si>
    <t>038</t>
  </si>
  <si>
    <t>353. hrsz. temető, belterület</t>
  </si>
  <si>
    <t>039</t>
  </si>
  <si>
    <t>358. hrsz. közút, belterület</t>
  </si>
  <si>
    <t>040</t>
  </si>
  <si>
    <t>359. hrsz. közút, belterület</t>
  </si>
  <si>
    <t>041</t>
  </si>
  <si>
    <t>378. hrsz. közterület, Kör út</t>
  </si>
  <si>
    <t>042</t>
  </si>
  <si>
    <t>384. hrsz. közterület, Alkotmány u.</t>
  </si>
  <si>
    <t>043</t>
  </si>
  <si>
    <t>390. hrsz. közterület, Erdei F. u.</t>
  </si>
  <si>
    <t>044</t>
  </si>
  <si>
    <t>411. hrsz. közterület, Hunyadi u.</t>
  </si>
  <si>
    <t>045</t>
  </si>
  <si>
    <t>412. hrsz. közterület, Jókai M. u.</t>
  </si>
  <si>
    <t>046</t>
  </si>
  <si>
    <t>421. hrsz. járda, belterület</t>
  </si>
  <si>
    <t>047</t>
  </si>
  <si>
    <t>443. hrsz. közterület, Jókai M. u.</t>
  </si>
  <si>
    <t>048</t>
  </si>
  <si>
    <t>447. hrsz. közút, belterület</t>
  </si>
  <si>
    <t>049</t>
  </si>
  <si>
    <t>448. hrsz. közút, belterület</t>
  </si>
  <si>
    <t>050</t>
  </si>
  <si>
    <t>449. hrsz. közút, belterület</t>
  </si>
  <si>
    <t>051</t>
  </si>
  <si>
    <t>449.hrsz út,belterület</t>
  </si>
  <si>
    <t>052</t>
  </si>
  <si>
    <t>482 hrsz közterület, kinizsi utca</t>
  </si>
  <si>
    <t>053</t>
  </si>
  <si>
    <t>496 közterület,belterület</t>
  </si>
  <si>
    <t>054</t>
  </si>
  <si>
    <t>506 utca,nincs utca neve</t>
  </si>
  <si>
    <t>055</t>
  </si>
  <si>
    <t>507 közterület,béke utca</t>
  </si>
  <si>
    <t>056</t>
  </si>
  <si>
    <t>507 közetrület, zrínyi utca</t>
  </si>
  <si>
    <t>057</t>
  </si>
  <si>
    <t>1005 közút, külterület</t>
  </si>
  <si>
    <t>058</t>
  </si>
  <si>
    <t>1018 közút, külterület</t>
  </si>
  <si>
    <t>059</t>
  </si>
  <si>
    <t>1035 közút, külterület</t>
  </si>
  <si>
    <t>060</t>
  </si>
  <si>
    <t>1055 közút, külterület</t>
  </si>
  <si>
    <t>061</t>
  </si>
  <si>
    <t>1083 közút, külterület</t>
  </si>
  <si>
    <t>062</t>
  </si>
  <si>
    <t>1084 közút, külterület</t>
  </si>
  <si>
    <t>063</t>
  </si>
  <si>
    <t>1109 közút, külterület</t>
  </si>
  <si>
    <t>064</t>
  </si>
  <si>
    <t>1134 közút, külterület</t>
  </si>
  <si>
    <t>065</t>
  </si>
  <si>
    <t>1201 ut, külterület</t>
  </si>
  <si>
    <t>066</t>
  </si>
  <si>
    <t>1204 ut, külterület</t>
  </si>
  <si>
    <t>067</t>
  </si>
  <si>
    <t>1216 ut, külterület</t>
  </si>
  <si>
    <t>068</t>
  </si>
  <si>
    <t>1233 ut, külterület</t>
  </si>
  <si>
    <t>069</t>
  </si>
  <si>
    <t>1251 ut, külterület</t>
  </si>
  <si>
    <t>070</t>
  </si>
  <si>
    <t>08 közút, külterület</t>
  </si>
  <si>
    <t>071</t>
  </si>
  <si>
    <t>09 ut, külterület</t>
  </si>
  <si>
    <t>072</t>
  </si>
  <si>
    <t>018 közút, külterület</t>
  </si>
  <si>
    <t>073</t>
  </si>
  <si>
    <t>019 ut, külterület</t>
  </si>
  <si>
    <t>074</t>
  </si>
  <si>
    <t>020 ut, külterület</t>
  </si>
  <si>
    <t>075</t>
  </si>
  <si>
    <t>022 ut, külterület</t>
  </si>
  <si>
    <t>076</t>
  </si>
  <si>
    <t>028 ut, külterület</t>
  </si>
  <si>
    <t>077</t>
  </si>
  <si>
    <t>030 ut, külterület</t>
  </si>
  <si>
    <t>078</t>
  </si>
  <si>
    <t>031 ut, külterület</t>
  </si>
  <si>
    <t>079</t>
  </si>
  <si>
    <t>034 ut, külterület</t>
  </si>
  <si>
    <t>080</t>
  </si>
  <si>
    <t>037 ut, külterület</t>
  </si>
  <si>
    <t>081</t>
  </si>
  <si>
    <t>038 ut, külterület</t>
  </si>
  <si>
    <t>082</t>
  </si>
  <si>
    <t>039 csatorna</t>
  </si>
  <si>
    <t>083</t>
  </si>
  <si>
    <t>040 csatorna</t>
  </si>
  <si>
    <t>084</t>
  </si>
  <si>
    <t>042 ut, külterület</t>
  </si>
  <si>
    <t>085</t>
  </si>
  <si>
    <t>045 ut, külterület</t>
  </si>
  <si>
    <t>086</t>
  </si>
  <si>
    <t>046 csatorna</t>
  </si>
  <si>
    <t>087</t>
  </si>
  <si>
    <t>088</t>
  </si>
  <si>
    <t>046 csatorna, külterület</t>
  </si>
  <si>
    <t>089</t>
  </si>
  <si>
    <t>046 ut, külterület</t>
  </si>
  <si>
    <t>090</t>
  </si>
  <si>
    <t>091</t>
  </si>
  <si>
    <t>092</t>
  </si>
  <si>
    <t>047 ut, külterület</t>
  </si>
  <si>
    <t>093</t>
  </si>
  <si>
    <t>049 ut, külterület</t>
  </si>
  <si>
    <t>094</t>
  </si>
  <si>
    <t>051 csatorna</t>
  </si>
  <si>
    <t>095</t>
  </si>
  <si>
    <t>057 ut, külterület</t>
  </si>
  <si>
    <t>096</t>
  </si>
  <si>
    <t>058 külterületi földút, külterület</t>
  </si>
  <si>
    <t>097</t>
  </si>
  <si>
    <t>098</t>
  </si>
  <si>
    <t>099</t>
  </si>
  <si>
    <t>059 közút, külterület</t>
  </si>
  <si>
    <t>100</t>
  </si>
  <si>
    <t>061 ut, külterület</t>
  </si>
  <si>
    <t>101</t>
  </si>
  <si>
    <t>063 ut, külterület</t>
  </si>
  <si>
    <t>102</t>
  </si>
  <si>
    <t>065 ut, külterület</t>
  </si>
  <si>
    <t>103</t>
  </si>
  <si>
    <t>067 ut, külterület</t>
  </si>
  <si>
    <t>104</t>
  </si>
  <si>
    <t>068 csatorna</t>
  </si>
  <si>
    <t>105</t>
  </si>
  <si>
    <t>068 ut, külterület</t>
  </si>
  <si>
    <t>106</t>
  </si>
  <si>
    <t>068 út, külterület</t>
  </si>
  <si>
    <t>107</t>
  </si>
  <si>
    <t>108</t>
  </si>
  <si>
    <t>109</t>
  </si>
  <si>
    <t>110</t>
  </si>
  <si>
    <t>111</t>
  </si>
  <si>
    <t>112</t>
  </si>
  <si>
    <t>113</t>
  </si>
  <si>
    <t>068 közút, külterület</t>
  </si>
  <si>
    <t>114</t>
  </si>
  <si>
    <t>070 ut, külterület</t>
  </si>
  <si>
    <t>115</t>
  </si>
  <si>
    <t>071 közút, külterület</t>
  </si>
  <si>
    <t>116</t>
  </si>
  <si>
    <t>072 közút, külterület</t>
  </si>
  <si>
    <t>117</t>
  </si>
  <si>
    <t>0107 ut, külterület</t>
  </si>
  <si>
    <t>118</t>
  </si>
  <si>
    <t>0115 ut, külterület</t>
  </si>
  <si>
    <t>119</t>
  </si>
  <si>
    <t>0116 külterületi földút, külterület</t>
  </si>
  <si>
    <t>120</t>
  </si>
  <si>
    <t>121</t>
  </si>
  <si>
    <t>0117 külterületi földút, külterület</t>
  </si>
  <si>
    <t>122</t>
  </si>
  <si>
    <t>0121 ut, külterület</t>
  </si>
  <si>
    <t>123</t>
  </si>
  <si>
    <t>0123 közút, külterület</t>
  </si>
  <si>
    <t>124</t>
  </si>
  <si>
    <t>0124 ut, külterület</t>
  </si>
  <si>
    <t>125</t>
  </si>
  <si>
    <t>0125 közút, külterület</t>
  </si>
  <si>
    <t>126</t>
  </si>
  <si>
    <t>0126 csatorna</t>
  </si>
  <si>
    <t>127</t>
  </si>
  <si>
    <t>0129 ut, külterület</t>
  </si>
  <si>
    <t>128</t>
  </si>
  <si>
    <t>0131 ut, külterület</t>
  </si>
  <si>
    <t>129</t>
  </si>
  <si>
    <t>0133 ut, külterület</t>
  </si>
  <si>
    <t>130</t>
  </si>
  <si>
    <t>0136 közút, külterület</t>
  </si>
  <si>
    <t>131</t>
  </si>
  <si>
    <t>0137 kerékpárút, külterület</t>
  </si>
  <si>
    <t>132</t>
  </si>
  <si>
    <t>0137 temető-erdő, külterület</t>
  </si>
  <si>
    <t>133</t>
  </si>
  <si>
    <t>134</t>
  </si>
  <si>
    <t>0139 kerékpárút, külterület</t>
  </si>
  <si>
    <t>135</t>
  </si>
  <si>
    <t>0139 közút, külterület</t>
  </si>
  <si>
    <t>136</t>
  </si>
  <si>
    <t>0142 kerékpárút, külterület</t>
  </si>
  <si>
    <t>137</t>
  </si>
  <si>
    <t>0142 ut, külterület</t>
  </si>
  <si>
    <t>138</t>
  </si>
  <si>
    <t>0148 csatorna</t>
  </si>
  <si>
    <t>139</t>
  </si>
  <si>
    <t>0151 ut, külterület</t>
  </si>
  <si>
    <t>140</t>
  </si>
  <si>
    <t>0153 közút, külterület</t>
  </si>
  <si>
    <t>141</t>
  </si>
  <si>
    <t>142</t>
  </si>
  <si>
    <t>0155 ut, külterület</t>
  </si>
  <si>
    <t>143</t>
  </si>
  <si>
    <t>0157 ut, külterület</t>
  </si>
  <si>
    <t>144</t>
  </si>
  <si>
    <t>145</t>
  </si>
  <si>
    <t>146</t>
  </si>
  <si>
    <t>0158 ut, külterület</t>
  </si>
  <si>
    <t>147</t>
  </si>
  <si>
    <t>0159 csatorna</t>
  </si>
  <si>
    <t>148</t>
  </si>
  <si>
    <t>0161 ut, külterület</t>
  </si>
  <si>
    <t>149</t>
  </si>
  <si>
    <t>0162 csatorna</t>
  </si>
  <si>
    <t>150</t>
  </si>
  <si>
    <t>0164 csatorna</t>
  </si>
  <si>
    <t>151</t>
  </si>
  <si>
    <t>0165 ut, külterület</t>
  </si>
  <si>
    <t>152</t>
  </si>
  <si>
    <t>0166 csatorna</t>
  </si>
  <si>
    <t>153</t>
  </si>
  <si>
    <t>0167 ut, külterület</t>
  </si>
  <si>
    <t>154</t>
  </si>
  <si>
    <t>0171 ut, külterület</t>
  </si>
  <si>
    <t>155</t>
  </si>
  <si>
    <t>0175 ut, külterület</t>
  </si>
  <si>
    <t>156</t>
  </si>
  <si>
    <t>0177 ut, külterület</t>
  </si>
  <si>
    <t>157</t>
  </si>
  <si>
    <t>0181 csatorna</t>
  </si>
  <si>
    <t>158</t>
  </si>
  <si>
    <t>0182 közút, külterület</t>
  </si>
  <si>
    <t>159</t>
  </si>
  <si>
    <t>0187 töltés</t>
  </si>
  <si>
    <t>160</t>
  </si>
  <si>
    <t>0191 csatorna</t>
  </si>
  <si>
    <t>161</t>
  </si>
  <si>
    <t>0193 csatorna</t>
  </si>
  <si>
    <t>162</t>
  </si>
  <si>
    <t>0194 töltés</t>
  </si>
  <si>
    <t>163</t>
  </si>
  <si>
    <t>0197 ut, külterület</t>
  </si>
  <si>
    <t>164</t>
  </si>
  <si>
    <t>0200 ut, külterület</t>
  </si>
  <si>
    <t>165</t>
  </si>
  <si>
    <t>0201 ut, külterület</t>
  </si>
  <si>
    <t>166</t>
  </si>
  <si>
    <t>0202 csatorna</t>
  </si>
  <si>
    <t>167</t>
  </si>
  <si>
    <t>0203 ut, külterület</t>
  </si>
  <si>
    <t>168</t>
  </si>
  <si>
    <t>0204 árok</t>
  </si>
  <si>
    <t>169</t>
  </si>
  <si>
    <t>0206 ut, külterület</t>
  </si>
  <si>
    <t>170</t>
  </si>
  <si>
    <t>0209 árok</t>
  </si>
  <si>
    <t>171</t>
  </si>
  <si>
    <t>0210 camping előtti út, külterület</t>
  </si>
  <si>
    <t>172</t>
  </si>
  <si>
    <t>0211 ut, külterület</t>
  </si>
  <si>
    <t>173</t>
  </si>
  <si>
    <t>0215 ut, külterület</t>
  </si>
  <si>
    <t>174</t>
  </si>
  <si>
    <t>0218 ut, külterület</t>
  </si>
  <si>
    <t>175</t>
  </si>
  <si>
    <t>0221 ut, külterület</t>
  </si>
  <si>
    <t>176</t>
  </si>
  <si>
    <t>177</t>
  </si>
  <si>
    <t>0224 ut, külterület</t>
  </si>
  <si>
    <t>178</t>
  </si>
  <si>
    <t>0226 csatorna</t>
  </si>
  <si>
    <t>179</t>
  </si>
  <si>
    <t>0227ut, külterület</t>
  </si>
  <si>
    <t>180</t>
  </si>
  <si>
    <t>181</t>
  </si>
  <si>
    <t>0227 ut, külterület</t>
  </si>
  <si>
    <t>182</t>
  </si>
  <si>
    <t>0230 ut, külterület</t>
  </si>
  <si>
    <t>183</t>
  </si>
  <si>
    <t>0231 csatorna</t>
  </si>
  <si>
    <t>184</t>
  </si>
  <si>
    <t>0232ut, külterület</t>
  </si>
  <si>
    <t>185</t>
  </si>
  <si>
    <t>0234 közút külterület</t>
  </si>
  <si>
    <t>186</t>
  </si>
  <si>
    <t>0235 csatoprna</t>
  </si>
  <si>
    <t>187</t>
  </si>
  <si>
    <t>0237 csatorna</t>
  </si>
  <si>
    <t>188</t>
  </si>
  <si>
    <t>02208 csatorna, külterület</t>
  </si>
  <si>
    <t>789</t>
  </si>
  <si>
    <t>Közút, 02385. hrsz.</t>
  </si>
  <si>
    <t>189</t>
  </si>
  <si>
    <t>12112</t>
  </si>
  <si>
    <t>1 községháza, rákóczi tér 1</t>
  </si>
  <si>
    <t>191</t>
  </si>
  <si>
    <t>77 egészségház, kossúth l.utca</t>
  </si>
  <si>
    <t>192</t>
  </si>
  <si>
    <t>79 gondozási központ, községház utca 17.</t>
  </si>
  <si>
    <t>194</t>
  </si>
  <si>
    <t>107 gazd. ép. és udvar, nincs utca neve</t>
  </si>
  <si>
    <t>195</t>
  </si>
  <si>
    <t>107 beépítetlen terület, nincs utca neve</t>
  </si>
  <si>
    <t>197</t>
  </si>
  <si>
    <t>183 táborhely, belterület</t>
  </si>
  <si>
    <t>199</t>
  </si>
  <si>
    <t>185 beépítetlen terület, fo utca 60</t>
  </si>
  <si>
    <t>200</t>
  </si>
  <si>
    <t>186 ipartelep</t>
  </si>
  <si>
    <t>201</t>
  </si>
  <si>
    <t>187 beépítetlen terület, fo utca 64</t>
  </si>
  <si>
    <t>202</t>
  </si>
  <si>
    <t>202 ovoda, petőfi utca 1</t>
  </si>
  <si>
    <t>203</t>
  </si>
  <si>
    <t>219 orvosi rendelő és szolgálati, petőfi utca 8</t>
  </si>
  <si>
    <t>205</t>
  </si>
  <si>
    <t>312. hrsz. kultúrház, Fő utca 49-2</t>
  </si>
  <si>
    <t>206</t>
  </si>
  <si>
    <t>313 általános iskola, fo u. 47</t>
  </si>
  <si>
    <t>207</t>
  </si>
  <si>
    <t>315 beépítetlen terület, fo u. 45</t>
  </si>
  <si>
    <t>208</t>
  </si>
  <si>
    <t>316 általános iskola és szolgála, fo u. 45</t>
  </si>
  <si>
    <t>210</t>
  </si>
  <si>
    <t>364 táborhely, strandfürdő</t>
  </si>
  <si>
    <t>211</t>
  </si>
  <si>
    <t>381 beépítetlen terület, belterület</t>
  </si>
  <si>
    <t>212</t>
  </si>
  <si>
    <t>506 beépítetlen terület, belterület</t>
  </si>
  <si>
    <t>213</t>
  </si>
  <si>
    <t>214</t>
  </si>
  <si>
    <t>215</t>
  </si>
  <si>
    <t>216</t>
  </si>
  <si>
    <t>05   gyep ( legelo ), külterület</t>
  </si>
  <si>
    <t>217</t>
  </si>
  <si>
    <t>06 agyaggödör, külterület</t>
  </si>
  <si>
    <t>218</t>
  </si>
  <si>
    <t>025 agyaggödör, külterület</t>
  </si>
  <si>
    <t>219</t>
  </si>
  <si>
    <t>221</t>
  </si>
  <si>
    <t>0170 gyep (legelő) és szántó</t>
  </si>
  <si>
    <t>222</t>
  </si>
  <si>
    <t>223</t>
  </si>
  <si>
    <t>0209 gyep (legelő), külterület</t>
  </si>
  <si>
    <t>224</t>
  </si>
  <si>
    <t>0360 strandfürdő</t>
  </si>
  <si>
    <t>225</t>
  </si>
  <si>
    <t>0362 strandfürdő</t>
  </si>
  <si>
    <t>226</t>
  </si>
  <si>
    <t>0365 beépítetlen terület, strandfürdő</t>
  </si>
  <si>
    <t>227</t>
  </si>
  <si>
    <t>0367 erdő, strandfürdő</t>
  </si>
  <si>
    <t>228</t>
  </si>
  <si>
    <t>0372 út, strandfürdő</t>
  </si>
  <si>
    <t>229</t>
  </si>
  <si>
    <t>12113</t>
  </si>
  <si>
    <t>40 beépítetlen terület, belterület</t>
  </si>
  <si>
    <t>230</t>
  </si>
  <si>
    <t>355 beépítetlen terület, belterület</t>
  </si>
  <si>
    <t>231</t>
  </si>
  <si>
    <t>357 beépítetlen terület, belterület</t>
  </si>
  <si>
    <t>233</t>
  </si>
  <si>
    <t>449 közterület, belterület</t>
  </si>
  <si>
    <t>234</t>
  </si>
  <si>
    <t>015 szántó, külterület</t>
  </si>
  <si>
    <t>235</t>
  </si>
  <si>
    <t>236</t>
  </si>
  <si>
    <t>237</t>
  </si>
  <si>
    <t>017 szántó, külterület</t>
  </si>
  <si>
    <t>238</t>
  </si>
  <si>
    <t>239</t>
  </si>
  <si>
    <t>046 szántó, külterület</t>
  </si>
  <si>
    <t>240</t>
  </si>
  <si>
    <t>241</t>
  </si>
  <si>
    <t>242</t>
  </si>
  <si>
    <t>243</t>
  </si>
  <si>
    <t>244</t>
  </si>
  <si>
    <t>0146 szántó, külterület</t>
  </si>
  <si>
    <t>245</t>
  </si>
  <si>
    <t>246</t>
  </si>
  <si>
    <t>0227 kivett terület, külterület</t>
  </si>
  <si>
    <t>247</t>
  </si>
  <si>
    <t>0364 táborhely, strandfürdő</t>
  </si>
  <si>
    <t>790</t>
  </si>
  <si>
    <t>Beépítetlen terület, 57. hrsz.</t>
  </si>
  <si>
    <t>791</t>
  </si>
  <si>
    <t>Beépítetlen terület, 107/1. hrsz.</t>
  </si>
  <si>
    <t>792</t>
  </si>
  <si>
    <t>Sporttelep</t>
  </si>
  <si>
    <t>793</t>
  </si>
  <si>
    <t>Táborhely</t>
  </si>
  <si>
    <t>794</t>
  </si>
  <si>
    <t>Tűzoltóság</t>
  </si>
  <si>
    <t>795</t>
  </si>
  <si>
    <t>Szántó</t>
  </si>
  <si>
    <t>796</t>
  </si>
  <si>
    <t>Beépítetlen terület</t>
  </si>
  <si>
    <t>797</t>
  </si>
  <si>
    <t>798</t>
  </si>
  <si>
    <t>799</t>
  </si>
  <si>
    <t>800</t>
  </si>
  <si>
    <t>Agyagbánya</t>
  </si>
  <si>
    <t>248</t>
  </si>
  <si>
    <t>121292</t>
  </si>
  <si>
    <t>801</t>
  </si>
  <si>
    <t>Általános Iskola (fa</t>
  </si>
  <si>
    <t>249</t>
  </si>
  <si>
    <t>121293</t>
  </si>
  <si>
    <t>307 közösségi épület, belterület</t>
  </si>
  <si>
    <t>250</t>
  </si>
  <si>
    <t>311 székkutasi tak. szöv. régi iro, fo utca45/47</t>
  </si>
  <si>
    <t>802</t>
  </si>
  <si>
    <t>251</t>
  </si>
  <si>
    <t>121311</t>
  </si>
  <si>
    <t>0137 temető- erdő, külterület</t>
  </si>
  <si>
    <t>252</t>
  </si>
  <si>
    <t>121312</t>
  </si>
  <si>
    <t>253</t>
  </si>
  <si>
    <t>254</t>
  </si>
  <si>
    <t>77 hrsz. Egészségház, Kossuth L. utca</t>
  </si>
  <si>
    <t>255</t>
  </si>
  <si>
    <t>79 gondozási központ, községház utca 17</t>
  </si>
  <si>
    <t>257</t>
  </si>
  <si>
    <t>258</t>
  </si>
  <si>
    <t>260</t>
  </si>
  <si>
    <t>261</t>
  </si>
  <si>
    <t>313 általános iskola, fő utca 47</t>
  </si>
  <si>
    <t>262</t>
  </si>
  <si>
    <t>316. hrsz. általános iskola; Fő u. 45</t>
  </si>
  <si>
    <t>803</t>
  </si>
  <si>
    <t>Közpark</t>
  </si>
  <si>
    <t>804</t>
  </si>
  <si>
    <t>805</t>
  </si>
  <si>
    <t>Kivett terület</t>
  </si>
  <si>
    <t>263</t>
  </si>
  <si>
    <t>121313</t>
  </si>
  <si>
    <t>264</t>
  </si>
  <si>
    <t>311 székkutasi tak. szöv. régi iro, fő utca 45/47</t>
  </si>
  <si>
    <t>806</t>
  </si>
  <si>
    <t>807</t>
  </si>
  <si>
    <t>265</t>
  </si>
  <si>
    <t>121412</t>
  </si>
  <si>
    <t>2 közpark, rákóczi tér</t>
  </si>
  <si>
    <t>808</t>
  </si>
  <si>
    <t>809</t>
  </si>
  <si>
    <t>Ipartelep</t>
  </si>
  <si>
    <t>266</t>
  </si>
  <si>
    <t>121421</t>
  </si>
  <si>
    <t>0137 temető-erdő</t>
  </si>
  <si>
    <t>267</t>
  </si>
  <si>
    <t>121491</t>
  </si>
  <si>
    <t>271</t>
  </si>
  <si>
    <t>3 közterület, rákóczi tér 3</t>
  </si>
  <si>
    <t>272</t>
  </si>
  <si>
    <t>273</t>
  </si>
  <si>
    <t>274</t>
  </si>
  <si>
    <t>10 közterület, béke utca</t>
  </si>
  <si>
    <t>275</t>
  </si>
  <si>
    <t>276</t>
  </si>
  <si>
    <t>277</t>
  </si>
  <si>
    <t>18 közterület, tornyai jános utca</t>
  </si>
  <si>
    <t>278</t>
  </si>
  <si>
    <t>279</t>
  </si>
  <si>
    <t>280</t>
  </si>
  <si>
    <t>38 közterület, széchenyi utca</t>
  </si>
  <si>
    <t>281</t>
  </si>
  <si>
    <t>282</t>
  </si>
  <si>
    <t>283</t>
  </si>
  <si>
    <t>39 közterület, béke utca</t>
  </si>
  <si>
    <t>284</t>
  </si>
  <si>
    <t>285</t>
  </si>
  <si>
    <t>286</t>
  </si>
  <si>
    <t>76 közterület, községház utca</t>
  </si>
  <si>
    <t>287</t>
  </si>
  <si>
    <t>288</t>
  </si>
  <si>
    <t>289</t>
  </si>
  <si>
    <t>94 közterület, szántó kovács jános utca</t>
  </si>
  <si>
    <t>290</t>
  </si>
  <si>
    <t>291</t>
  </si>
  <si>
    <t>292</t>
  </si>
  <si>
    <t>95 közterület, kör út</t>
  </si>
  <si>
    <t>293</t>
  </si>
  <si>
    <t>294</t>
  </si>
  <si>
    <t>295</t>
  </si>
  <si>
    <t>107 ut, nincs utca neve</t>
  </si>
  <si>
    <t>296</t>
  </si>
  <si>
    <t>297</t>
  </si>
  <si>
    <t>108 közút, nincs utca neve</t>
  </si>
  <si>
    <t>298</t>
  </si>
  <si>
    <t>299</t>
  </si>
  <si>
    <t>300</t>
  </si>
  <si>
    <t>301</t>
  </si>
  <si>
    <t>109 közterület, táncsis mihály utca</t>
  </si>
  <si>
    <t>302</t>
  </si>
  <si>
    <t>303</t>
  </si>
  <si>
    <t>304</t>
  </si>
  <si>
    <t>125 közút, nincs utca neve</t>
  </si>
  <si>
    <t>305</t>
  </si>
  <si>
    <t>306</t>
  </si>
  <si>
    <t>136 közterület, dózsa gy. utca</t>
  </si>
  <si>
    <t>307</t>
  </si>
  <si>
    <t>308</t>
  </si>
  <si>
    <t>309</t>
  </si>
  <si>
    <t>310</t>
  </si>
  <si>
    <t>311</t>
  </si>
  <si>
    <t>142 közterület, dózsa gy. utca</t>
  </si>
  <si>
    <t>312</t>
  </si>
  <si>
    <t>313</t>
  </si>
  <si>
    <t>314</t>
  </si>
  <si>
    <t>169 csatorna, belterület</t>
  </si>
  <si>
    <t>315</t>
  </si>
  <si>
    <t>184 közterület, tiszai utca</t>
  </si>
  <si>
    <t>316</t>
  </si>
  <si>
    <t>317</t>
  </si>
  <si>
    <t>318</t>
  </si>
  <si>
    <t>Módosítás</t>
  </si>
  <si>
    <t>Módósított előirányzat</t>
  </si>
  <si>
    <t>Módosított előirányzat</t>
  </si>
  <si>
    <t xml:space="preserve">Módosítás </t>
  </si>
  <si>
    <t>2014. évi előirányzatok</t>
  </si>
  <si>
    <t>2014. évi előirányzat</t>
  </si>
  <si>
    <t>2014. ÉVI ELŐIRÁNYZATOK ÖSSZESEN</t>
  </si>
  <si>
    <t>207 közterület, petőfi utca</t>
  </si>
  <si>
    <t>319</t>
  </si>
  <si>
    <t>320</t>
  </si>
  <si>
    <t>321</t>
  </si>
  <si>
    <t>322</t>
  </si>
  <si>
    <t>208 közút, gátfelhajtó</t>
  </si>
  <si>
    <t>323</t>
  </si>
  <si>
    <t>324</t>
  </si>
  <si>
    <t>234 közterület, petőfi utca</t>
  </si>
  <si>
    <t>325</t>
  </si>
  <si>
    <t>326</t>
  </si>
  <si>
    <t>327</t>
  </si>
  <si>
    <t>242 járda, belterület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</si>
  <si>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</si>
  <si>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</si>
  <si>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</si>
  <si>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</si>
  <si>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</si>
  <si>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</si>
  <si>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</si>
  <si>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</si>
  <si>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</si>
  <si>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</si>
  <si>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274 közút, belterület</t>
  </si>
  <si>
    <t>338</t>
  </si>
  <si>
    <t>339</t>
  </si>
  <si>
    <t>340</t>
  </si>
  <si>
    <t>275 közterület, rákóczi utca</t>
  </si>
  <si>
    <t>341</t>
  </si>
  <si>
    <t>342</t>
  </si>
  <si>
    <t>343</t>
  </si>
  <si>
    <t>297 közterület, ady endre utca</t>
  </si>
  <si>
    <t>344</t>
  </si>
  <si>
    <t>345</t>
  </si>
  <si>
    <t>346</t>
  </si>
  <si>
    <t>298 csatorna, belterület</t>
  </si>
  <si>
    <t>347</t>
  </si>
  <si>
    <t>301 közterület, kossúth l. utca</t>
  </si>
  <si>
    <t>348</t>
  </si>
  <si>
    <t>349</t>
  </si>
  <si>
    <t>350</t>
  </si>
  <si>
    <t>302 csatorna,l belterület</t>
  </si>
  <si>
    <t>351</t>
  </si>
  <si>
    <t>308  járda, belterület</t>
  </si>
  <si>
    <t>352</t>
  </si>
  <si>
    <t>353</t>
  </si>
  <si>
    <t>310 közút, belterület</t>
  </si>
  <si>
    <t>354</t>
  </si>
  <si>
    <t>321 csatorna, belterület</t>
  </si>
  <si>
    <t>355</t>
  </si>
  <si>
    <t>358 közút, belterület</t>
  </si>
  <si>
    <t>356</t>
  </si>
  <si>
    <t>357</t>
  </si>
  <si>
    <t>359 közút, belterület</t>
  </si>
  <si>
    <t>358</t>
  </si>
  <si>
    <t>359</t>
  </si>
  <si>
    <t>378 közterület, kör út</t>
  </si>
  <si>
    <t>360</t>
  </si>
  <si>
    <t>361</t>
  </si>
  <si>
    <t>362</t>
  </si>
  <si>
    <t>384 közterület, alkotmány utca</t>
  </si>
  <si>
    <t>363</t>
  </si>
  <si>
    <t>364</t>
  </si>
  <si>
    <t>390 közterület, erdei ferenc utca</t>
  </si>
  <si>
    <t>365</t>
  </si>
  <si>
    <t>366</t>
  </si>
  <si>
    <t>367</t>
  </si>
  <si>
    <t>411 közterület, hunyadi utca</t>
  </si>
  <si>
    <t>368</t>
  </si>
  <si>
    <t>369</t>
  </si>
  <si>
    <t>370</t>
  </si>
  <si>
    <t>412 közterület, jókai mór utca</t>
  </si>
  <si>
    <t>371</t>
  </si>
  <si>
    <t>412 közterület, jólai mór utca</t>
  </si>
  <si>
    <t>372</t>
  </si>
  <si>
    <t>373</t>
  </si>
  <si>
    <t>421 járda, belterület</t>
  </si>
  <si>
    <t>374</t>
  </si>
  <si>
    <t>375</t>
  </si>
  <si>
    <t>376</t>
  </si>
  <si>
    <t>443 közterület, jókai mór utca</t>
  </si>
  <si>
    <t>377</t>
  </si>
  <si>
    <t>378</t>
  </si>
  <si>
    <t>379</t>
  </si>
  <si>
    <t>447 közút, belterület</t>
  </si>
  <si>
    <t>380</t>
  </si>
  <si>
    <t>381</t>
  </si>
  <si>
    <t>448 közút, belterület</t>
  </si>
  <si>
    <t>382</t>
  </si>
  <si>
    <t>383</t>
  </si>
  <si>
    <t>384</t>
  </si>
  <si>
    <t>449 közterület, liliom utca</t>
  </si>
  <si>
    <t>385</t>
  </si>
  <si>
    <t>386</t>
  </si>
  <si>
    <t>449 út, belterület</t>
  </si>
  <si>
    <t>387</t>
  </si>
  <si>
    <t>388</t>
  </si>
  <si>
    <t>482 közterület, kinizsi pál utca</t>
  </si>
  <si>
    <t>389</t>
  </si>
  <si>
    <t>390</t>
  </si>
  <si>
    <t>391</t>
  </si>
  <si>
    <t>496 közterület, belterület</t>
  </si>
  <si>
    <t>392</t>
  </si>
  <si>
    <t>393</t>
  </si>
  <si>
    <t>506 utca nincs utca neve</t>
  </si>
  <si>
    <t>394</t>
  </si>
  <si>
    <t>395</t>
  </si>
  <si>
    <t>507 közterület, béke utca</t>
  </si>
  <si>
    <t>396</t>
  </si>
  <si>
    <t>397</t>
  </si>
  <si>
    <t>507 közterület, zrínyi utca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</si>
  <si>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</si>
  <si>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</si>
  <si>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</si>
  <si>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</si>
  <si>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</si>
  <si>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</si>
  <si>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</si>
  <si>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</si>
  <si>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</si>
  <si>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</si>
  <si>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</si>
  <si>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</si>
  <si>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</si>
  <si>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</si>
  <si>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</si>
  <si>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</si>
  <si>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</si>
  <si>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</si>
  <si>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</si>
  <si>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</si>
  <si>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</si>
  <si>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</si>
  <si>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</si>
  <si>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</si>
  <si>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</si>
  <si>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</si>
  <si>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</si>
  <si>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</si>
  <si>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</si>
  <si>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</si>
  <si>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</si>
  <si>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09 közút, külterület</t>
  </si>
  <si>
    <t>429</t>
  </si>
  <si>
    <t>430</t>
  </si>
  <si>
    <t>431</t>
  </si>
  <si>
    <t>432</t>
  </si>
  <si>
    <t>019 közút, külterület</t>
  </si>
  <si>
    <t>433</t>
  </si>
  <si>
    <t>434</t>
  </si>
  <si>
    <t>020 közút, külterület</t>
  </si>
  <si>
    <t>435</t>
  </si>
  <si>
    <t>436</t>
  </si>
  <si>
    <t>022 közút, külterület</t>
  </si>
  <si>
    <t>437</t>
  </si>
  <si>
    <t>438</t>
  </si>
  <si>
    <t>028 közút, külterület</t>
  </si>
  <si>
    <t>439</t>
  </si>
  <si>
    <t>440</t>
  </si>
  <si>
    <t>030 közút, külterület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</si>
  <si>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</si>
  <si>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</si>
  <si>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</si>
  <si>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</si>
  <si>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</si>
  <si>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</si>
  <si>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</si>
  <si>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</si>
  <si>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</si>
  <si>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</si>
  <si>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</si>
  <si>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</si>
  <si>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</si>
  <si>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</si>
  <si>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</si>
  <si>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</si>
  <si>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</si>
  <si>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</si>
  <si>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</si>
  <si>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046 út, külterület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</si>
  <si>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</si>
  <si>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</si>
  <si>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</si>
  <si>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</si>
  <si>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</si>
  <si>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</si>
  <si>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</si>
  <si>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</si>
  <si>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</si>
  <si>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</si>
  <si>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</si>
  <si>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057 út, külterület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</si>
  <si>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</si>
  <si>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</si>
  <si>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</si>
  <si>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</si>
  <si>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</si>
  <si>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</si>
  <si>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</si>
  <si>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</si>
  <si>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</si>
  <si>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061 út, külterület</t>
  </si>
  <si>
    <t>480</t>
  </si>
  <si>
    <t>481</t>
  </si>
  <si>
    <t>063 út, külterület</t>
  </si>
  <si>
    <t>482</t>
  </si>
  <si>
    <t>484</t>
  </si>
  <si>
    <t>065 út, külterület</t>
  </si>
  <si>
    <t>485</t>
  </si>
  <si>
    <t>067 út, külterület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</si>
  <si>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</si>
  <si>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</si>
  <si>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</si>
  <si>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</si>
  <si>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</si>
  <si>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</si>
  <si>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</si>
  <si>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</si>
  <si>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</si>
  <si>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</si>
  <si>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</si>
  <si>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</si>
  <si>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</si>
  <si>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</si>
  <si>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</si>
  <si>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</si>
  <si>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</si>
  <si>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</si>
  <si>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</si>
  <si>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069 közút, külterület</t>
  </si>
  <si>
    <t>505</t>
  </si>
  <si>
    <t>506</t>
  </si>
  <si>
    <t>0670 út, külterület</t>
  </si>
  <si>
    <t>507</t>
  </si>
  <si>
    <t>508</t>
  </si>
  <si>
    <t>509</t>
  </si>
  <si>
    <t>510</t>
  </si>
  <si>
    <t>511</t>
  </si>
  <si>
    <t>512</t>
  </si>
  <si>
    <t>0107 út, külterület</t>
  </si>
  <si>
    <t>513</t>
  </si>
  <si>
    <t>514</t>
  </si>
  <si>
    <t>0115 út, külterület</t>
  </si>
  <si>
    <t>515</t>
  </si>
  <si>
    <t>516</t>
  </si>
  <si>
    <t>517</t>
  </si>
  <si>
    <t>518</t>
  </si>
  <si>
    <t>519</t>
  </si>
  <si>
    <t>520</t>
  </si>
  <si>
    <t>521</t>
  </si>
  <si>
    <t>522</t>
  </si>
  <si>
    <t>0121 út, külterület</t>
  </si>
  <si>
    <t>523</t>
  </si>
  <si>
    <t>524</t>
  </si>
  <si>
    <t>525</t>
  </si>
  <si>
    <t>526</t>
  </si>
  <si>
    <t>0124 út, külterület</t>
  </si>
  <si>
    <t>527</t>
  </si>
  <si>
    <t>528</t>
  </si>
  <si>
    <t>529</t>
  </si>
  <si>
    <t>530</t>
  </si>
  <si>
    <t>531</t>
  </si>
  <si>
    <t>0129 út, külterület</t>
  </si>
  <si>
    <t>532</t>
  </si>
  <si>
    <t>533</t>
  </si>
  <si>
    <t>0131 út, külterület</t>
  </si>
  <si>
    <t>534</t>
  </si>
  <si>
    <t>535</t>
  </si>
  <si>
    <t>0133 út, külterület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</si>
  <si>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</si>
  <si>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</si>
  <si>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</si>
  <si>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</si>
  <si>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</si>
  <si>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</si>
  <si>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</si>
  <si>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</si>
  <si>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</si>
  <si>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</si>
  <si>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0142 kerékpár út, külterület</t>
  </si>
  <si>
    <t>546</t>
  </si>
  <si>
    <t>547</t>
  </si>
  <si>
    <t>0142 út, külterület</t>
  </si>
  <si>
    <t>548</t>
  </si>
  <si>
    <t>549</t>
  </si>
  <si>
    <t>0151 út, külterület</t>
  </si>
  <si>
    <t>550</t>
  </si>
  <si>
    <t>551</t>
  </si>
  <si>
    <t>552</t>
  </si>
  <si>
    <t>553</t>
  </si>
  <si>
    <t>554</t>
  </si>
  <si>
    <t>555</t>
  </si>
  <si>
    <t>0155 út, külterület</t>
  </si>
  <si>
    <t>556</t>
  </si>
  <si>
    <t>557</t>
  </si>
  <si>
    <t>0157 út, külterület</t>
  </si>
  <si>
    <t>558</t>
  </si>
  <si>
    <t>559</t>
  </si>
  <si>
    <t>560</t>
  </si>
  <si>
    <t>561</t>
  </si>
  <si>
    <t>562</t>
  </si>
  <si>
    <t>563</t>
  </si>
  <si>
    <t>0158 út, külterület</t>
  </si>
  <si>
    <t>564</t>
  </si>
  <si>
    <t>565</t>
  </si>
  <si>
    <t>566</t>
  </si>
  <si>
    <t>0161 út, külterület</t>
  </si>
  <si>
    <t>567</t>
  </si>
  <si>
    <t>568</t>
  </si>
  <si>
    <t>569</t>
  </si>
  <si>
    <t>570</t>
  </si>
  <si>
    <t>0165 út, külterület</t>
  </si>
  <si>
    <t>571</t>
  </si>
  <si>
    <t>572</t>
  </si>
  <si>
    <t>573</t>
  </si>
  <si>
    <t>0167 út, külterület</t>
  </si>
  <si>
    <t>574</t>
  </si>
  <si>
    <t>575</t>
  </si>
  <si>
    <t>0171 út, külterület</t>
  </si>
  <si>
    <t>576</t>
  </si>
  <si>
    <t>577</t>
  </si>
  <si>
    <t>0175 út, külterület</t>
  </si>
  <si>
    <t>578</t>
  </si>
  <si>
    <t>579</t>
  </si>
  <si>
    <t>0177 út, külterület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</si>
  <si>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</si>
  <si>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</si>
  <si>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</si>
  <si>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</si>
  <si>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</si>
  <si>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</si>
  <si>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</si>
  <si>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</si>
  <si>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</si>
  <si>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0197 út, külterület</t>
  </si>
  <si>
    <t>589</t>
  </si>
  <si>
    <t>590</t>
  </si>
  <si>
    <t>0200 út, külterület</t>
  </si>
  <si>
    <t>591</t>
  </si>
  <si>
    <t>592</t>
  </si>
  <si>
    <t>0201 út, külterület</t>
  </si>
  <si>
    <t>593</t>
  </si>
  <si>
    <t>594</t>
  </si>
  <si>
    <t>595</t>
  </si>
  <si>
    <t>0203 út, külterület</t>
  </si>
  <si>
    <t>596</t>
  </si>
  <si>
    <t>597</t>
  </si>
  <si>
    <t>598</t>
  </si>
  <si>
    <t>0206 út, külterület</t>
  </si>
  <si>
    <t>599</t>
  </si>
  <si>
    <t>600</t>
  </si>
  <si>
    <t>601</t>
  </si>
  <si>
    <t>0210 camping előtti út</t>
  </si>
  <si>
    <t>602</t>
  </si>
  <si>
    <t>603</t>
  </si>
  <si>
    <t>604</t>
  </si>
  <si>
    <t>0211 út, külterület</t>
  </si>
  <si>
    <t>605</t>
  </si>
  <si>
    <t>606</t>
  </si>
  <si>
    <t>0215 út, külterület</t>
  </si>
  <si>
    <t>607</t>
  </si>
  <si>
    <t>608</t>
  </si>
  <si>
    <t>0218 út, külterület</t>
  </si>
  <si>
    <t>609</t>
  </si>
  <si>
    <t>610</t>
  </si>
  <si>
    <t>0221 út, külterület</t>
  </si>
  <si>
    <t>611</t>
  </si>
  <si>
    <t>612</t>
  </si>
  <si>
    <t>613</t>
  </si>
  <si>
    <t>614</t>
  </si>
  <si>
    <t>0224 út, külterület</t>
  </si>
  <si>
    <t>615</t>
  </si>
  <si>
    <t>616</t>
  </si>
  <si>
    <t>617</t>
  </si>
  <si>
    <t>0227 út, külterület</t>
  </si>
  <si>
    <t>618</t>
  </si>
  <si>
    <t>619</t>
  </si>
  <si>
    <t>620</t>
  </si>
  <si>
    <t>621</t>
  </si>
  <si>
    <t>622</t>
  </si>
  <si>
    <t>623</t>
  </si>
  <si>
    <t>0230 út, külterület</t>
  </si>
  <si>
    <t>624</t>
  </si>
  <si>
    <t>625</t>
  </si>
  <si>
    <t>626</t>
  </si>
  <si>
    <t>0232 út, külterület</t>
  </si>
  <si>
    <t>627</t>
  </si>
  <si>
    <t>628</t>
  </si>
  <si>
    <t>0234 közút, külterület</t>
  </si>
  <si>
    <t>629</t>
  </si>
  <si>
    <t>630</t>
  </si>
  <si>
    <t>0235 csatorna</t>
  </si>
  <si>
    <t>631</t>
  </si>
  <si>
    <t>810</t>
  </si>
  <si>
    <t>Közpark 138</t>
  </si>
  <si>
    <t>811</t>
  </si>
  <si>
    <t>812</t>
  </si>
  <si>
    <t>813</t>
  </si>
  <si>
    <t>Közterület 139</t>
  </si>
  <si>
    <t>815</t>
  </si>
  <si>
    <t>Közterület 140</t>
  </si>
  <si>
    <t>817</t>
  </si>
  <si>
    <t>Közterület 141</t>
  </si>
  <si>
    <t>819</t>
  </si>
  <si>
    <t>Közterület 235</t>
  </si>
  <si>
    <t>821</t>
  </si>
  <si>
    <t>Közterület 143</t>
  </si>
  <si>
    <t>822</t>
  </si>
  <si>
    <t>Közterület 144</t>
  </si>
  <si>
    <t>824</t>
  </si>
  <si>
    <t>Közterület 145</t>
  </si>
  <si>
    <t>826</t>
  </si>
  <si>
    <t>Közút 147</t>
  </si>
  <si>
    <t>828</t>
  </si>
  <si>
    <t>Közterület 149</t>
  </si>
  <si>
    <t>830</t>
  </si>
  <si>
    <t>Közút 150</t>
  </si>
  <si>
    <t>832</t>
  </si>
  <si>
    <t>Közterület 151</t>
  </si>
  <si>
    <t>834</t>
  </si>
  <si>
    <t>Közterület 152</t>
  </si>
  <si>
    <t>836</t>
  </si>
  <si>
    <t>Közterület 154</t>
  </si>
  <si>
    <t>838</t>
  </si>
  <si>
    <t>Közterület 155</t>
  </si>
  <si>
    <t>840</t>
  </si>
  <si>
    <t>Közterület 165</t>
  </si>
  <si>
    <t>842</t>
  </si>
  <si>
    <t>Közterület 167</t>
  </si>
  <si>
    <t>844</t>
  </si>
  <si>
    <t>Közút 170</t>
  </si>
  <si>
    <t>846</t>
  </si>
  <si>
    <t>Csatorna 172</t>
  </si>
  <si>
    <t>847</t>
  </si>
  <si>
    <t>Közterület 175</t>
  </si>
  <si>
    <t>849</t>
  </si>
  <si>
    <t>Közterület 176</t>
  </si>
  <si>
    <t>851</t>
  </si>
  <si>
    <t>Közterület 177</t>
  </si>
  <si>
    <t>853</t>
  </si>
  <si>
    <t>Közterület 178</t>
  </si>
  <si>
    <t>854</t>
  </si>
  <si>
    <t>Közút 181</t>
  </si>
  <si>
    <t>866</t>
  </si>
  <si>
    <t>Közterület 245</t>
  </si>
  <si>
    <t>867</t>
  </si>
  <si>
    <t>870</t>
  </si>
  <si>
    <t>Közterület 189</t>
  </si>
  <si>
    <t>873</t>
  </si>
  <si>
    <t>Közút 190</t>
  </si>
  <si>
    <t>875</t>
  </si>
  <si>
    <t>Közút 191</t>
  </si>
  <si>
    <t>877</t>
  </si>
  <si>
    <t>Közút 192</t>
  </si>
  <si>
    <t>879</t>
  </si>
  <si>
    <t>Közút 193</t>
  </si>
  <si>
    <t>881</t>
  </si>
  <si>
    <t>Közút 194</t>
  </si>
  <si>
    <t>883</t>
  </si>
  <si>
    <t>Közút 195</t>
  </si>
  <si>
    <t>884</t>
  </si>
  <si>
    <t>Közút 196</t>
  </si>
  <si>
    <t>887</t>
  </si>
  <si>
    <t>Közút 197</t>
  </si>
  <si>
    <t>888</t>
  </si>
  <si>
    <t>Út 78</t>
  </si>
  <si>
    <t>890</t>
  </si>
  <si>
    <t>Temető-erdő</t>
  </si>
  <si>
    <t>891</t>
  </si>
  <si>
    <t>Közút 90</t>
  </si>
  <si>
    <t>632</t>
  </si>
  <si>
    <t>121492</t>
  </si>
  <si>
    <t>77 egészségház, kossúth l. utca</t>
  </si>
  <si>
    <t>633</t>
  </si>
  <si>
    <t>634</t>
  </si>
  <si>
    <t>635</t>
  </si>
  <si>
    <t>636</t>
  </si>
  <si>
    <t>637</t>
  </si>
  <si>
    <t>638</t>
  </si>
  <si>
    <t>639</t>
  </si>
  <si>
    <t>640</t>
  </si>
  <si>
    <t>892</t>
  </si>
  <si>
    <t>121493</t>
  </si>
  <si>
    <t>Agyagbánya, 38</t>
  </si>
  <si>
    <t>893</t>
  </si>
  <si>
    <t>Kivett terület, 236</t>
  </si>
  <si>
    <t>705</t>
  </si>
  <si>
    <t>12152</t>
  </si>
  <si>
    <t>Vagyoni értékű jog</t>
  </si>
  <si>
    <t>814</t>
  </si>
  <si>
    <t>1219491</t>
  </si>
  <si>
    <t>816</t>
  </si>
  <si>
    <t>818</t>
  </si>
  <si>
    <t>820</t>
  </si>
  <si>
    <t>823</t>
  </si>
  <si>
    <t>825</t>
  </si>
  <si>
    <t>827</t>
  </si>
  <si>
    <t>829</t>
  </si>
  <si>
    <t>831</t>
  </si>
  <si>
    <t>833</t>
  </si>
  <si>
    <t>835</t>
  </si>
  <si>
    <t>837</t>
  </si>
  <si>
    <t>839</t>
  </si>
  <si>
    <t>841</t>
  </si>
  <si>
    <t>843</t>
  </si>
  <si>
    <t>845</t>
  </si>
  <si>
    <t>848</t>
  </si>
  <si>
    <t>850</t>
  </si>
  <si>
    <t>852</t>
  </si>
  <si>
    <t>855</t>
  </si>
  <si>
    <t>868</t>
  </si>
  <si>
    <t>869</t>
  </si>
  <si>
    <t>871</t>
  </si>
  <si>
    <t>872</t>
  </si>
  <si>
    <t>874</t>
  </si>
  <si>
    <t>876</t>
  </si>
  <si>
    <t>878</t>
  </si>
  <si>
    <t>880</t>
  </si>
  <si>
    <t>882</t>
  </si>
  <si>
    <t>885</t>
  </si>
  <si>
    <t>886</t>
  </si>
  <si>
    <t>889</t>
  </si>
  <si>
    <t>9.sz.melléklet</t>
  </si>
  <si>
    <t>A Magyar Államkincstár 10457/9/2010. I. fokú határozatának jóváhagyása a Magyar Államkincstár Központ Önkormányzati Főosztály ÖF/1601/2013. iktatószámú határozatával</t>
  </si>
  <si>
    <t>Számított kamat összesen:</t>
  </si>
  <si>
    <t xml:space="preserve">Visszafizetési kötelezettség </t>
  </si>
  <si>
    <t>Késedelmi kamat mértéke</t>
  </si>
  <si>
    <t>Fizetési kötelezettség (ÖKOTÁM, normatíva) összesen:</t>
  </si>
  <si>
    <t>Önkormányzat által vitatott kötelezettség összesen:</t>
  </si>
  <si>
    <t>Mártély Község Önkormányzata a határozatot átvette: 2014. január 06. napján</t>
  </si>
  <si>
    <t>A beérkezett határozat iktatószáma: 5-22-112-1/2014</t>
  </si>
  <si>
    <t>Az ÖF/1601/2013. számon jóváhagyott I. fokú  határozat száma: 10457/9/2010.</t>
  </si>
  <si>
    <t>Az I. fokú határozat kelte: 2010. március 22.</t>
  </si>
  <si>
    <t xml:space="preserve">Fellebbezés határidőben benyújtva az I. fokú határozat ellen: 2010. április 8. (postára adás napja) </t>
  </si>
  <si>
    <t>A fellebbezés elutasítása: ÖF/1601/2013. határozat kelte: 2013. december 30.</t>
  </si>
  <si>
    <t xml:space="preserve">Jogorvoslati lehetőség: </t>
  </si>
  <si>
    <t>Jogszabálysértésre hivatkozással kereset beadása a Szegedi Közigazgatási és Munkaügyi</t>
  </si>
  <si>
    <t>Bírósághoz</t>
  </si>
  <si>
    <t>Kereset beadásának dátuma: 2014. január 22.</t>
  </si>
  <si>
    <t>Mártély Önkormányzata egyben kérte a jogerős határozat felfüggesztését a bírósági eljárás végéig</t>
  </si>
  <si>
    <r>
      <t>Intézményi létszámkeret</t>
    </r>
    <r>
      <rPr>
        <sz val="8"/>
        <rFont val="Arial CE"/>
        <charset val="238"/>
      </rPr>
      <t xml:space="preserve"> (10+2fő prémiuméves)</t>
    </r>
  </si>
  <si>
    <t>CSVKT megszűnés miatt lakossági befizetések, hátralék</t>
  </si>
  <si>
    <t>B55</t>
  </si>
  <si>
    <t>2015. év</t>
  </si>
  <si>
    <t>2016. év</t>
  </si>
  <si>
    <t>2017. év</t>
  </si>
  <si>
    <t>Rövid lejáratú  hitel visszafizetés</t>
  </si>
  <si>
    <t>Központi, irányító szervi támogatás (intézmények, közös hivatal)</t>
  </si>
  <si>
    <t>Központi, irányító szervi támogatás (ntézményi bevételek)</t>
  </si>
  <si>
    <t>Hosszú lejáratú  fejlesztési hitel</t>
  </si>
  <si>
    <t>(adatok E Ft)</t>
  </si>
  <si>
    <t>Mártély Község Önkormányzat gördített költségvetési tervezete az Áht.24. § (4)bekezdés d) pontja alapján</t>
  </si>
  <si>
    <t>10.sz.melléklet</t>
  </si>
  <si>
    <t>Elengedett kamat a 10001/11/2014. MÁK levél alapján 2014.01.24</t>
  </si>
  <si>
    <t>Magyar Államkincstár 10001/11/2014. iktatószámú levél alapján a közműfejlesztési támogatás</t>
  </si>
  <si>
    <t xml:space="preserve">utáni kamat elengedve 2014. január 24-én </t>
  </si>
  <si>
    <t>K502</t>
  </si>
  <si>
    <t>Elvonások és befizetések (jogosulatlanul igénybevett támogatások visszafizetése)</t>
  </si>
  <si>
    <t>Intézmény finanszírozás (ebből normatív támogatás 20.029e ft, önkorm.tám.:12.684eft)</t>
  </si>
  <si>
    <t>Egyéb működési célú támogatások ÁH-on belülre: Az intézmények finanszírozása: 46.535 e ft  és a közös hivatal tervezett finanszírozása 30.000 E ft,</t>
  </si>
  <si>
    <t>Rövid lejáratú likviditási hitel</t>
  </si>
  <si>
    <t>Rövid lejáratú likviditásihitel felvétele</t>
  </si>
  <si>
    <t>Intézmény finanszírozás (ebből normatív támogatás 20.029e ft, önkorm.tám.:12.684 eft)</t>
  </si>
  <si>
    <t>Rövid lejáratú likvidhitelek törlesztése pénzügyi vállalkozásnak</t>
  </si>
  <si>
    <t>K9112-9113</t>
  </si>
  <si>
    <t>Rövid lejáratú, likvid hitel visszafiz.</t>
  </si>
  <si>
    <t>K9112,9113</t>
  </si>
  <si>
    <t>Rövid lejáratú likvidhitelek törlesztése - pénzügyi vállalkozásnak</t>
  </si>
  <si>
    <t>Rövid lejáratú, likviditási hitel</t>
  </si>
  <si>
    <t>Előirányzat felhasználási ütemterv 2014.</t>
  </si>
  <si>
    <t>Az I. fokú határozat szerinti fizetési kötelezettség: 16.757.883 forint+901.320=17.659.203 ft</t>
  </si>
  <si>
    <t>K915</t>
  </si>
  <si>
    <t>Mártély Község Önkormányzat</t>
  </si>
  <si>
    <t>Kiadás</t>
  </si>
  <si>
    <t>Bevétel</t>
  </si>
  <si>
    <t>Eredeti előirányzat</t>
  </si>
  <si>
    <t>I.</t>
  </si>
  <si>
    <t>Működési költségvetés</t>
  </si>
  <si>
    <t>Működési bevételek</t>
  </si>
  <si>
    <t>ÁFA bevétel</t>
  </si>
  <si>
    <t>Magánszemélyek kommunális adója</t>
  </si>
  <si>
    <t>Idegenforgalmi adó tartózkodás után</t>
  </si>
  <si>
    <t>Iparűzési adó</t>
  </si>
  <si>
    <t>Talajterhelési díj</t>
  </si>
  <si>
    <t>I. Általános feladatok támogatása</t>
  </si>
  <si>
    <t>II. Települési önkormányzatok köznevelési és gyermekétkeztetési feladatainak támogatása (óvoda működtetés, étkeztetés)</t>
  </si>
  <si>
    <t>III.2. Hozzájárulás a pénzbeli szociális ellátásokhoz</t>
  </si>
  <si>
    <t>III.3. Egyes szociális és gyermekjóléti feladatok támogatása</t>
  </si>
  <si>
    <t>IV. A települési önkormányzatok kulturális feladatainak támogatása</t>
  </si>
  <si>
    <t>Működési kiadások</t>
  </si>
  <si>
    <t>Személyi juttatás</t>
  </si>
  <si>
    <t>Dologi kiadások</t>
  </si>
  <si>
    <t>Szociális juttatások</t>
  </si>
  <si>
    <t>Pénzeszköz átvétel</t>
  </si>
  <si>
    <t>Előző évi költségvetési kiegészítés</t>
  </si>
  <si>
    <t>Műk.célú péneszköz átvétel áh.kívül</t>
  </si>
  <si>
    <t>Intézmény finanszírozás (közös hivatal is)</t>
  </si>
  <si>
    <t>Hitel felvétel, kölcsön visszafizetés</t>
  </si>
  <si>
    <t>Hitel törlesztés.  kölcsön nyújtás</t>
  </si>
  <si>
    <t>II.</t>
  </si>
  <si>
    <t>Felhalmozási költségvetés</t>
  </si>
  <si>
    <t>Felhalmozási bevételek</t>
  </si>
  <si>
    <t>Önkormányzati lakótelek értékesítés</t>
  </si>
  <si>
    <t>Önkormányzati földterület értékesítés</t>
  </si>
  <si>
    <t>Felhalmozási kiadások</t>
  </si>
  <si>
    <t>Felújítás kiadásai</t>
  </si>
  <si>
    <t>Beruházás kiadásai</t>
  </si>
  <si>
    <t>Feljesztési hitel kamatkiadásai</t>
  </si>
  <si>
    <t>Fejlesztési hitel felvétel</t>
  </si>
  <si>
    <t>Felhalmozási célú pénzeszköz átadás</t>
  </si>
  <si>
    <t>Intézményi létszámkeret</t>
  </si>
  <si>
    <t>Közfoglalkoztatottak létszámkeret</t>
  </si>
  <si>
    <t>Mártélyi Általános Művelődési Központ</t>
  </si>
  <si>
    <t>Gépjárműadó 40 %-a</t>
  </si>
  <si>
    <t>(adatok E Ft-ban)</t>
  </si>
  <si>
    <t>Szakfeladat összesen:</t>
  </si>
  <si>
    <t>Önkormányzati lakótelek és ingatlan értékesítés</t>
  </si>
  <si>
    <t>Önkormányzati föld értékesítése</t>
  </si>
  <si>
    <t>Foglalkoztatottak létszáma</t>
  </si>
  <si>
    <t>Közfoglalkoztatottak létszáma</t>
  </si>
  <si>
    <t>Kiadási főösszeg:</t>
  </si>
  <si>
    <t>Bevételi főösszeg</t>
  </si>
  <si>
    <t>Előző évi pénzmaradvány igénybevétele és felhasználása, kötelezettséggel terhelt pénzmaradvány</t>
  </si>
  <si>
    <t>Intézményi létszámkeret /fő</t>
  </si>
  <si>
    <t>Önkormányzati költségvetés bevételi főösszeg:</t>
  </si>
  <si>
    <t>Nettósított költségvetés kiadási főösszeg:</t>
  </si>
  <si>
    <t>Nettósított költségvetés bevételi főösszeg:</t>
  </si>
  <si>
    <t>Mártély Község Önkormányzat Gondozási Központ</t>
  </si>
  <si>
    <t>Önkormányzat összesen:</t>
  </si>
  <si>
    <t>5. számú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</si>
  <si>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</si>
  <si>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</si>
  <si>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</si>
  <si>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</si>
  <si>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</si>
  <si>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</si>
  <si>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</si>
  <si>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</si>
  <si>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</si>
  <si>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</si>
  <si>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</si>
  <si>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</si>
  <si>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</si>
  <si>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</si>
  <si>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Mártély Község Önkormányzata</t>
  </si>
  <si>
    <t>Beruházási és felújítási kiadások</t>
  </si>
  <si>
    <t>Támogatási kölcsönök folyósítása, visszafizetése</t>
  </si>
  <si>
    <t>Összesen:</t>
  </si>
  <si>
    <t>Intézményi működési bevételek</t>
  </si>
  <si>
    <t>Előző évi pénzmaradvány igénybevétele</t>
  </si>
  <si>
    <t>Támogatási kölcsönök visszatérülése, igénybevétele</t>
  </si>
  <si>
    <t>KSH kód:</t>
  </si>
  <si>
    <t>Jogcím megnevezése</t>
  </si>
  <si>
    <t>I.1.a)</t>
  </si>
  <si>
    <t>Önkormányzati hivatal működésének támogatása</t>
  </si>
  <si>
    <t>I.1.b)</t>
  </si>
  <si>
    <t>Település-üzemeltetéshez kapcsolódó feladatellátás támogatása</t>
  </si>
  <si>
    <t>II.1.</t>
  </si>
  <si>
    <t>Óvodapedagógusok és az óvodapedagógusok nevelő munkáját közvetlenül segítők bértámogatása</t>
  </si>
  <si>
    <t>Óvodaműködtetési támogatás</t>
  </si>
  <si>
    <t>TELEPÜLÉSI ÖNKORMÁNYZATOK KÖZNEVELÉSI ÉS GYERMEKÉTKEZTETÉSI FELADATAINAK TÁMOGATÁSA ÖSSZESEN</t>
  </si>
  <si>
    <t>III.2.</t>
  </si>
  <si>
    <t xml:space="preserve"> Hozzájárulás a pénzbeli szociális ellátásokhoz</t>
  </si>
  <si>
    <t>Szociális és gyermekjóléi alapszolgáltatások átlalános feladatai</t>
  </si>
  <si>
    <t>Szociális étkeztetés</t>
  </si>
  <si>
    <t>Házi segítségnyújtás</t>
  </si>
  <si>
    <t>Falugondnoki vagy tanyagondnoki szolgáltatás</t>
  </si>
  <si>
    <t>Időskorúak nappali intézményi ellátása</t>
  </si>
  <si>
    <t>III.3.</t>
  </si>
  <si>
    <t>III.</t>
  </si>
  <si>
    <t>A TELEPÜLÉSI ÖNKORMÁNYZATOK SZOCIÁLIS ÉS GYERMEKJÓLÉTI FELADATAINAK TÁMOGATÁSA ÖSSZESEN</t>
  </si>
  <si>
    <t>Könyvtári, közművelődési és múzeumi feladatok támogatása</t>
  </si>
  <si>
    <t>IV.</t>
  </si>
  <si>
    <t>A TELEPÜLÉSI ÖNKORMÁNYZATOK KULTURÁLIS FELADATAINAK TÁMOGATÁSA ÖSSZESEN</t>
  </si>
  <si>
    <t>Üdülőhelyi feladatok támogatása</t>
  </si>
  <si>
    <t>Helyi önkormányzatok egyes költségvetési kapcsolatokból számított bevételei összesen</t>
  </si>
  <si>
    <t>I.1.ba)</t>
  </si>
  <si>
    <t>I.1.bc)</t>
  </si>
  <si>
    <t>Köztemető fenntartással kapcsolatos feladatok támogatása</t>
  </si>
  <si>
    <t>Közutak fenntartásának támogatása</t>
  </si>
  <si>
    <t>HELYI ÖNKORMÁNYZATOK MŰKÖDÉSÉNEK ÁLTALÁNOS TÁMOGATÁSA ÖSSZESEN</t>
  </si>
  <si>
    <t>A zöldterület gazdálkodással kapcsolatos feladatok ellátásának támogatása</t>
  </si>
  <si>
    <t xml:space="preserve">I.1.bd) </t>
  </si>
  <si>
    <t>III.3.d (1)</t>
  </si>
  <si>
    <t>III.3</t>
  </si>
  <si>
    <t>III.3.e</t>
  </si>
  <si>
    <t>III.3.f (1)</t>
  </si>
  <si>
    <t>Lakott külterülettel kapcsolatos feladatok támogatása</t>
  </si>
  <si>
    <t>Rendszeres szociális segély</t>
  </si>
  <si>
    <t>Könyvtári érdekeltségnövelő támogatás</t>
  </si>
  <si>
    <t>6. számú melléklet</t>
  </si>
  <si>
    <t>Pályázat megnevezése</t>
  </si>
  <si>
    <t>Pályázati azonosító</t>
  </si>
  <si>
    <t>A projekt leírása, a pályázat megvalósítása</t>
  </si>
  <si>
    <t>1.</t>
  </si>
  <si>
    <t>2.</t>
  </si>
  <si>
    <t>Integrált Közösségi és Szolgáltató tér kialakítása Mártélyon</t>
  </si>
  <si>
    <t>MVH 6.356.01.01</t>
  </si>
  <si>
    <t>3.</t>
  </si>
  <si>
    <t>Hódmezővásárhely-Mártély-Székkutas Ivóvízminőség-javító Projekt</t>
  </si>
  <si>
    <t>KEOP-1.3.0/09-11-2011-0044</t>
  </si>
  <si>
    <t xml:space="preserve">Foglalkoztatást helyettesítő támogatás </t>
  </si>
  <si>
    <t xml:space="preserve">Lakásfenntartási támogatás </t>
  </si>
  <si>
    <t xml:space="preserve">Lakott külterülettel kapcsolatos feladatok támogatása </t>
  </si>
  <si>
    <t>Helyi szervezési intézkedésekhez kapcsolódó többletkiadások támogatása (Prémiumévek progr.)</t>
  </si>
  <si>
    <t>KIADÁSOK</t>
  </si>
  <si>
    <t>KIADÁSOK ÖSSZESEN:</t>
  </si>
  <si>
    <t>BEVÉTELEK</t>
  </si>
  <si>
    <t>Személyi juttatások</t>
  </si>
  <si>
    <t>Fenntartói finanszírozás</t>
  </si>
  <si>
    <t>BEVÉTELEK ÖSSZESEN:</t>
  </si>
  <si>
    <t>Intézmények finanszírozása</t>
  </si>
  <si>
    <t>Felhalmozási c.kölcsön Ivóvíz program</t>
  </si>
  <si>
    <t>Felhalmozási célú hitelek</t>
  </si>
  <si>
    <t>Felhalmozási célú kölcsön Ivóvíz prgr.</t>
  </si>
  <si>
    <t>Ivóvízminőségi-javító pr. önerő kölcsön</t>
  </si>
  <si>
    <t>Egészségre nevelő és szemléletformáló életmód programok - lokális színterek</t>
  </si>
  <si>
    <t>TÁMOP6.1.2-11/1-2012-1615</t>
  </si>
  <si>
    <t>Rovatrend</t>
  </si>
  <si>
    <t xml:space="preserve">MÁRTÉLY KÖZSÉG ÖNKORMÁNYZATA </t>
  </si>
  <si>
    <t xml:space="preserve">Kiemelt előirányzatok </t>
  </si>
  <si>
    <t>Gondozási Központ összesen:</t>
  </si>
  <si>
    <t>Mártélyi ÁMK összesen:</t>
  </si>
  <si>
    <t>Önkormányzati költségvetés kiadási főösszeg:</t>
  </si>
  <si>
    <t>Halmozódás (intézmények)</t>
  </si>
  <si>
    <t>Költségvetési engedélyezett létszámkeret:</t>
  </si>
  <si>
    <t>Tervezett közfoglalkoztatotti létszám:</t>
  </si>
  <si>
    <t>Önkormányzat költségvetési támogatása</t>
  </si>
  <si>
    <t>Kiemelt előirányzatok</t>
  </si>
  <si>
    <t>(adatok E forintban)</t>
  </si>
  <si>
    <t>K1101</t>
  </si>
  <si>
    <t>K2</t>
  </si>
  <si>
    <t>Munkaadói járulékok és szociális hozzájárulási adó</t>
  </si>
  <si>
    <t>K35</t>
  </si>
  <si>
    <t>Különféle befizetések és egyéb dologi kiadások</t>
  </si>
  <si>
    <t>B8131</t>
  </si>
  <si>
    <t>B402</t>
  </si>
  <si>
    <t>B405</t>
  </si>
  <si>
    <t>K</t>
  </si>
  <si>
    <t>B</t>
  </si>
  <si>
    <t>B8</t>
  </si>
  <si>
    <t>B4</t>
  </si>
  <si>
    <t>B6</t>
  </si>
  <si>
    <t>B7</t>
  </si>
  <si>
    <t>Működési célú átvett pénzeszközök</t>
  </si>
  <si>
    <t>B2</t>
  </si>
  <si>
    <t>Felhalmozási célú támogatások ÁH-on belülről</t>
  </si>
  <si>
    <t>K1</t>
  </si>
  <si>
    <t>B406</t>
  </si>
  <si>
    <t>Felhalmozási célú bevételek</t>
  </si>
  <si>
    <t>Felhalmozási célú átvett pénzeszközök ÁH-kívül</t>
  </si>
  <si>
    <t>K31-K34</t>
  </si>
  <si>
    <t>B816</t>
  </si>
  <si>
    <t>Mártély Község Önkormányzata pályázati programok bemutatása 2014. évben</t>
  </si>
  <si>
    <t>Lakosok száma 2013.01.01.</t>
  </si>
  <si>
    <t>1301 fő</t>
  </si>
  <si>
    <t>2014. évi jogcím</t>
  </si>
  <si>
    <t>Mennyiségi egység</t>
  </si>
  <si>
    <t>2014. évi mutatószám</t>
  </si>
  <si>
    <t xml:space="preserve">2014. évi fajlagos összeg </t>
  </si>
  <si>
    <t>2014. évi támogatás Ft</t>
  </si>
  <si>
    <t>A helyi önkormányzatok általános működésének és ágazati feladatainak támogatása                                       (Költségvetési törvényjavaslat 2. sz. melléklet)</t>
  </si>
  <si>
    <t>I. A helyi önkormányzataok működésének általános támogatása</t>
  </si>
  <si>
    <t>fő</t>
  </si>
  <si>
    <t>ha</t>
  </si>
  <si>
    <t>I.1.bb)</t>
  </si>
  <si>
    <t>Közvilágítás fenntartásának támogatása</t>
  </si>
  <si>
    <t>km</t>
  </si>
  <si>
    <t>m2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</si>
  <si>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</si>
  <si>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</si>
  <si>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II.1. </t>
  </si>
  <si>
    <t>Óvodapedagógusok átlagbérének és közterheinek elismert összege</t>
  </si>
  <si>
    <t>számított létszám (fő)</t>
  </si>
  <si>
    <t>Óvodapedagógusok átlagbérének és közterheinek elismert pótlólagos  összege (számított létszám/3hónap) a 2014/2015. nevelési évre</t>
  </si>
  <si>
    <t>Óvodapedagógusok nevelő munkáját közvetlenül segítők átlagbérének és közterheinek elismert összege (létszám/év)</t>
  </si>
  <si>
    <t>III. A TELEPÜLÉSI ÖNKORMÁNYZATOK SZOCIÁLIS, GYERMEKJÓLÉTI ÉS GYERMEKÉTKEZTETÉSI FELADATAINAK TÁMOGATÁSA</t>
  </si>
  <si>
    <t xml:space="preserve">III.3.c </t>
  </si>
  <si>
    <t>szolgálat</t>
  </si>
  <si>
    <t>Egyes szociális és gyermekjóléti feladatok támogatása</t>
  </si>
  <si>
    <t>III.5</t>
  </si>
  <si>
    <t>Gyermekétkeztetés támogatása</t>
  </si>
  <si>
    <t>III.5.ab)</t>
  </si>
  <si>
    <t>Óvodában, nappali rendszerrű közoktatásban részt vevő gyermekek, tanulók után (ingyenes v. 50 % kedv.)</t>
  </si>
  <si>
    <t>III.5.</t>
  </si>
  <si>
    <t>Gyermekétkeztetés támogatása összesen:</t>
  </si>
  <si>
    <t>IV. TELEPÜLÉSI ÖNKORMÁNYZATOK KULTURÁLIS FELADATAINAK TÁMOGATÁSA</t>
  </si>
  <si>
    <t>IV.1</t>
  </si>
  <si>
    <t>IV.1.d)</t>
  </si>
  <si>
    <t>Települési önkormányzatok nyilvános könyvtári és közművelődési feladatainak támogatása</t>
  </si>
  <si>
    <t>6.</t>
  </si>
  <si>
    <t xml:space="preserve">Helyi szervezési intézkedésekhez kapcsolódó többletkiadás támogatása </t>
  </si>
  <si>
    <t>Év közben lehívható kötött felhasználású támogatások, amelyek egy része az adóerő-képesség központilag történő kiszámításával válhat igényelhetővé</t>
  </si>
  <si>
    <t>10.</t>
  </si>
  <si>
    <t>Önkormányzati feladatellátást szolgáló fejlesztések</t>
  </si>
  <si>
    <t>10.b)</t>
  </si>
  <si>
    <t>Egyes önkormányzati feladatokhoz kapcsolódó fejlesztési támogatás</t>
  </si>
  <si>
    <t>10.ba)</t>
  </si>
  <si>
    <t>Kötelező önkormányzati feladatot ellátó intézmények fejlesztése, felújítása</t>
  </si>
  <si>
    <t>10.bb)</t>
  </si>
  <si>
    <t>Óvodai, iskola és utánpótlás sport infrastruktúra-fejlesztés, felújítás</t>
  </si>
  <si>
    <t>10.bc)</t>
  </si>
  <si>
    <t>Közbiztonság növelését szolgáló fejlesztések megvalósítása</t>
  </si>
  <si>
    <t>12.</t>
  </si>
  <si>
    <t>Könyvtári  és közművelődési érdekeltségnövelő támogatás, muzeális intézmények szakmai támogatása</t>
  </si>
  <si>
    <t>13.</t>
  </si>
  <si>
    <t>A 2013. évről áthúzódó bérkompenzáció támogatása</t>
  </si>
  <si>
    <t>15.</t>
  </si>
  <si>
    <t>17.</t>
  </si>
  <si>
    <t>Rövid lejáratú hitelek</t>
  </si>
  <si>
    <t>Szerződés száma</t>
  </si>
  <si>
    <t>Lejárat</t>
  </si>
  <si>
    <t>57200172-60000161</t>
  </si>
  <si>
    <t>Éven belüli lejáratú támogatás előfinanszírozási hitelhez, "Mártélyi IKSZT kialakítása" pályázat támogatást megelőlegező hitel</t>
  </si>
  <si>
    <t>Rövid lejáratú hitelek összesen:</t>
  </si>
  <si>
    <t>Hosszú lejáratú hitelek</t>
  </si>
  <si>
    <t>Önkormányzati Infrastruktúrafejlesztési Hitelprogram keretében a Magyar Fejlesztési Bank Zrt által refinanszírozott beruházási célú hitelhez "Erdei iskola"</t>
  </si>
  <si>
    <t>Önkormányzati Infrastruktúrafejlesztési Hitelprogram keretében a Magyar Fejlesztési Bank Zrt által refinanszírozott beruházási célú hitelhez "Faluház felújítása" pályázat önrész</t>
  </si>
  <si>
    <t>Hosszú lejáratú hitelek összesen:</t>
  </si>
  <si>
    <t>Mártély Község Önkormányzat hitelei 2014.01.01.</t>
  </si>
  <si>
    <t>7.sz.melléklet</t>
  </si>
  <si>
    <t>4.sz.melléklet</t>
  </si>
  <si>
    <t>Feljesztési hitel visszafizetés</t>
  </si>
  <si>
    <t>Rövid lejáratú támog.megelőleg.hitel felvétel</t>
  </si>
  <si>
    <t>Hosszú lejáratú fejlesztési hitel felvétele</t>
  </si>
  <si>
    <t>Rövid lejáratú támog.megelőleg.hitel visszafiz.</t>
  </si>
  <si>
    <t>Hosszú lejáratú fejlesztési hitel visszafizetés</t>
  </si>
  <si>
    <t>2.sz.melléklet</t>
  </si>
  <si>
    <t>3.sz.melléklet</t>
  </si>
  <si>
    <t>Munkáltatói járulék és szociális hozzájárulási adó</t>
  </si>
  <si>
    <t>Közhatalmi bevételek</t>
  </si>
  <si>
    <t>Normatív támogatások összesen:</t>
  </si>
  <si>
    <t>K31-K35</t>
  </si>
  <si>
    <t>B112</t>
  </si>
  <si>
    <t>B111</t>
  </si>
  <si>
    <t>B113</t>
  </si>
  <si>
    <t>B114</t>
  </si>
  <si>
    <t>B115</t>
  </si>
  <si>
    <t>2014. évi bérkompenzáció</t>
  </si>
  <si>
    <t xml:space="preserve">Üdülőhelyi feladatok támogatása </t>
  </si>
  <si>
    <t>B34</t>
  </si>
  <si>
    <t>B351</t>
  </si>
  <si>
    <t>B354</t>
  </si>
  <si>
    <t>B36</t>
  </si>
  <si>
    <t>B355</t>
  </si>
  <si>
    <t>B404</t>
  </si>
  <si>
    <t>Tulajdonosi bevételek</t>
  </si>
  <si>
    <t>Kiszámlázott általános forgalmi adó</t>
  </si>
  <si>
    <t>B52</t>
  </si>
  <si>
    <t>B16</t>
  </si>
  <si>
    <t>Egyéb működési célú támogatások bevételei ÁH-on belülről</t>
  </si>
  <si>
    <t>Egyéb működési célú támogatások bevételei ÁH-on belülről (OEP)</t>
  </si>
  <si>
    <t>Egyéb működési célú támogatások ÁH-on belülre</t>
  </si>
  <si>
    <t>K506</t>
  </si>
  <si>
    <t>B813</t>
  </si>
  <si>
    <t>Maradvány igénybevétele</t>
  </si>
  <si>
    <t>Egyéb működési célú támogatások bevételei ÁH-on belülről (TÁMOP-6.1.2 Egészségnev.pály.)</t>
  </si>
  <si>
    <t>Felhalmozási célú átvett pénzeszközök ÁH-on kívülről</t>
  </si>
  <si>
    <t>K6</t>
  </si>
  <si>
    <t>K7</t>
  </si>
  <si>
    <t>Felújítások</t>
  </si>
  <si>
    <t>K8</t>
  </si>
  <si>
    <t>Egyéb felhalmozási célú kiadások</t>
  </si>
  <si>
    <t>K84</t>
  </si>
  <si>
    <t>Egyéb felhalmozási célú támogatás ÁH-on belülre</t>
  </si>
  <si>
    <t>K911</t>
  </si>
  <si>
    <t>K508</t>
  </si>
  <si>
    <t>K9111</t>
  </si>
  <si>
    <t>K9113</t>
  </si>
  <si>
    <t>B8111</t>
  </si>
  <si>
    <t>B8113</t>
  </si>
  <si>
    <t>B8112</t>
  </si>
  <si>
    <t>Likviditási célú hitelek, kölcsönök felvétele pénzügyi vállalkozástól</t>
  </si>
  <si>
    <t>Finanszírozási kiadások (működési célú)</t>
  </si>
  <si>
    <t>Finanszírozási bevételek (működési célú)</t>
  </si>
  <si>
    <t>Egyéb működési célú kiadások</t>
  </si>
  <si>
    <t>K44</t>
  </si>
  <si>
    <t>K45</t>
  </si>
  <si>
    <t>Átmeneti kölcsön nyújtása</t>
  </si>
  <si>
    <t>K48</t>
  </si>
  <si>
    <t>K42</t>
  </si>
  <si>
    <t>K46</t>
  </si>
  <si>
    <t>K511</t>
  </si>
  <si>
    <t>Egyéb működési célú támogatások ÁH-on kívülre</t>
  </si>
  <si>
    <t>B25</t>
  </si>
  <si>
    <t>Egyéb felhalmozási célú támogatások bevételei ÁH-on belülről</t>
  </si>
  <si>
    <t>Egyéb felhalmozási célú támogatások bevételei ÁH-on belülről (Munkaügyi Központ)</t>
  </si>
  <si>
    <t>K88</t>
  </si>
  <si>
    <t>B23</t>
  </si>
  <si>
    <t>K83</t>
  </si>
  <si>
    <t>Dologi kiadások és különféle befizetések</t>
  </si>
  <si>
    <t>K42-K48</t>
  </si>
  <si>
    <t>Szociális juttatások, intézményi ellátások</t>
  </si>
  <si>
    <t>K6-K8</t>
  </si>
  <si>
    <t>B3</t>
  </si>
  <si>
    <t>Maradvány igénybevétele előző évi</t>
  </si>
  <si>
    <t>Fejlesztési célú hitelek</t>
  </si>
  <si>
    <t>B1</t>
  </si>
  <si>
    <t>Működési célú támogatások ÁH-on belülről (normatív állami támogatások)</t>
  </si>
  <si>
    <t>Központi, irányítószervi támogatás</t>
  </si>
  <si>
    <t>Központi, irányító szervi támogatás</t>
  </si>
  <si>
    <t>Előző év költségvetési maradványának igénybevétele és felhasználása, kötelezettséggel terhelt pénzmaradvány:</t>
  </si>
  <si>
    <t>III.5. Gyermekétkeztetés támogatása</t>
  </si>
  <si>
    <t>Működési célú átvett pénzeszközök ÁH-on kívülről</t>
  </si>
  <si>
    <t>Előző év költségvetési maradványának igénybevétele: …….. E ft, ebből kötelezettséggel terhelt maradvány …... e Ft, szabad ktg.vetési maradvány ……. e Ft</t>
  </si>
  <si>
    <t>Egyéb működési támogatások ÁH-on belülre</t>
  </si>
  <si>
    <t>Egyéb működési támogatások ÁH-on kívülre</t>
  </si>
  <si>
    <t>Egyéb működési célú támogatások kiadásai</t>
  </si>
  <si>
    <t xml:space="preserve">Egyéb működési célú támogatások bevételei </t>
  </si>
  <si>
    <t xml:space="preserve">Működési célú átvett pénzeszközök   </t>
  </si>
  <si>
    <t>B63</t>
  </si>
  <si>
    <t>B81</t>
  </si>
  <si>
    <t>K9112</t>
  </si>
  <si>
    <t>Likviditási célú hitelek, kölcsönök törlesztése</t>
  </si>
  <si>
    <t>Felhalmozási célú támogatások ÁH-on kívülről</t>
  </si>
  <si>
    <t xml:space="preserve">K </t>
  </si>
  <si>
    <t>Beruházási kiadások</t>
  </si>
  <si>
    <t>Felújítási kiadások</t>
  </si>
  <si>
    <t>Egyéb felhalmozási kiadások</t>
  </si>
  <si>
    <t>Rövid lejáratú támog.megelőleg.hitel felvétele</t>
  </si>
  <si>
    <t>B12</t>
  </si>
  <si>
    <t>Egyéb működési célú támogatások bevételei ÁH-on belülről (Munkaügyi Központ)</t>
  </si>
  <si>
    <t xml:space="preserve">Egyéb működési célú támogatások bevételei ÁH-on belülről </t>
  </si>
  <si>
    <t>Dologi kiadások és különféle befizetések,egyéb dologi</t>
  </si>
  <si>
    <t>Hosszú lejáratú támogatást megelőlegező fejlesztési hitel</t>
  </si>
  <si>
    <t>Rövid lejáratú tám.megelőlegező hitel visszafizetés</t>
  </si>
  <si>
    <t>B402,B406</t>
  </si>
  <si>
    <t>Egyéb működési célú támogatások ÁH-on kívülről</t>
  </si>
  <si>
    <t xml:space="preserve">Működési célú támogatások ÁH-on belülről </t>
  </si>
  <si>
    <t>Ellátási díjak</t>
  </si>
  <si>
    <t>Előző évi költségvetési maradvány igénybevétele</t>
  </si>
  <si>
    <t>Közfoglalkoztatottak száma (fő):</t>
  </si>
  <si>
    <t>Dologi  kiadások</t>
  </si>
  <si>
    <t>Mártély Csatornaberuházó Víziközmű Társulat 2013.11.08-i megszűnésével a lejárt hitelek és késedelmi kamatok (Unicredit Bank) jogszabály szerinti átszállása a jogutód önkormányzatra. A 2013.11.18-i banki kimutatás szerint a lejárt tőketartozás: 81.387.843,73 ft, a késedelmi kamat: 13.470.388,93 ft, összesen: 94.858.233 ft.</t>
  </si>
  <si>
    <t>II.1.(3)2</t>
  </si>
  <si>
    <t>II.1. (2)1 - II.1.(2)2</t>
  </si>
  <si>
    <t>II.2. (8)1-II.2.(8)2</t>
  </si>
  <si>
    <t>III.3.m</t>
  </si>
  <si>
    <t>Kistelepülések szociális feladatainak támogatása</t>
  </si>
  <si>
    <t>B311</t>
  </si>
  <si>
    <t>Magánszemélyek jövedelemadói (föld bérbeadásból származó jövedelem adója)</t>
  </si>
  <si>
    <t>Egyéb közhatalmi bevételek (pótlékok, bírságok)</t>
  </si>
  <si>
    <t>III. 5b)</t>
  </si>
  <si>
    <t>Gyermekétkeztetés üzemeltetési támogatása</t>
  </si>
  <si>
    <t>ÖNKORMÁNYZAT MINDÖSSZESEN</t>
  </si>
  <si>
    <t>2014. JÚNIUSI MÓDOSÍTÁS</t>
  </si>
  <si>
    <t>Rendszeres gyermekvédelmi támogatásban részesülők pénzbeni támogatása</t>
  </si>
  <si>
    <t>III. 1.</t>
  </si>
  <si>
    <t>Egyes jövedelempótló támogatások kiegészítése</t>
  </si>
  <si>
    <t>Központosított előirányzatok összesen</t>
  </si>
  <si>
    <t>18.</t>
  </si>
  <si>
    <t>Átmeneti ivóvízellátás biztosításával kapcsolatos költségek támogatása</t>
  </si>
  <si>
    <t>B 1</t>
  </si>
  <si>
    <t>Önkormányzat és intézményei mindösszesen</t>
  </si>
  <si>
    <t>Mártély Község Önkormányzat összesítés (részletes) :</t>
  </si>
  <si>
    <t>19.</t>
  </si>
  <si>
    <t>13/a</t>
  </si>
  <si>
    <t>bérkompenzáció 01-04 hó</t>
  </si>
  <si>
    <t>GONDOZÁSI KÖZPONT ÖSSZESEN</t>
  </si>
  <si>
    <t>ÁLTALÁNOS MŰVELŐDÉSI KÖZPONT MINDÖSSZESEN</t>
  </si>
  <si>
    <t>Működési célú támogatások ÁH-on belülről ( állami támogatások)</t>
  </si>
  <si>
    <t>Adósságkonszolidáció</t>
  </si>
  <si>
    <t>Kormányzati funkciók összesen</t>
  </si>
  <si>
    <t>K 506</t>
  </si>
  <si>
    <t>K502 - 506</t>
  </si>
  <si>
    <t>K502-506</t>
  </si>
  <si>
    <t>Előző év költségvetési maradványának igénybevétele: 10 663 E ft, ebből kötelezettséggel terhelt maradvány 2 977 e Ft, szabad ktg.vetési maradvány 7 686 e Ft</t>
  </si>
  <si>
    <t>Előző év költségvetési maradványának igénybevétele: 10 486 e Ft, szabad működési pénzmaradvány 6 864 e ft</t>
  </si>
  <si>
    <t>Létszám</t>
  </si>
  <si>
    <t>B116</t>
  </si>
  <si>
    <t>B21</t>
  </si>
  <si>
    <t>Adósságkonszolidáció (Tőke)</t>
  </si>
  <si>
    <t>1/1. sz. melléklet</t>
  </si>
  <si>
    <t>1.sz. mellékelt (Összesítő)</t>
  </si>
  <si>
    <t>2014. JÚNIUSI és szeptemberiMÓDOSÍTÁS</t>
  </si>
  <si>
    <t>20.</t>
  </si>
  <si>
    <t>E-útdíj bevezetésével kapcsolatos ellentételezés</t>
  </si>
  <si>
    <t>E-útdíj ellentételezése</t>
  </si>
  <si>
    <t xml:space="preserve">21. </t>
  </si>
  <si>
    <t>Szociális és gyermekvédelmi ágazati pótlék</t>
  </si>
  <si>
    <t>22.</t>
  </si>
  <si>
    <t>"Itthon vagy" Szeretlek Magyaország projekt</t>
  </si>
  <si>
    <t xml:space="preserve">23. </t>
  </si>
  <si>
    <t>Szociális tűzifa</t>
  </si>
  <si>
    <t>Szociális tüzifa támogatás</t>
  </si>
  <si>
    <t>Itthon vagy Magyarország szeretlek</t>
  </si>
  <si>
    <t>4. számú Módosítás</t>
  </si>
  <si>
    <t>Természetbeni támogatás (Erzsébet utalvány)</t>
  </si>
  <si>
    <t>"Egésszégtudatosság Mártélyon" TÁMOP pályázat</t>
  </si>
  <si>
    <t>Eljárási illeték</t>
  </si>
  <si>
    <t>Igazgatási szolgáltatási díj</t>
  </si>
  <si>
    <t>B73</t>
  </si>
  <si>
    <t>Felhalmozási célú pe. Átvétel ÁH kívülről</t>
  </si>
  <si>
    <t>Egyéb működési célú támogatások, kölcsönök bevételei ÁH-on kívülről</t>
  </si>
  <si>
    <t>B11</t>
  </si>
  <si>
    <t>2013. évi bérkompenzáció</t>
  </si>
  <si>
    <t>B 116</t>
  </si>
  <si>
    <t>E-útdíj bevezetésével kapcsolatos támogatás</t>
  </si>
  <si>
    <t>KÖNYVELENDŐ</t>
  </si>
  <si>
    <t>B54</t>
  </si>
  <si>
    <t>Részesedés értékesítése</t>
  </si>
  <si>
    <t>Ágazati pótlék</t>
  </si>
  <si>
    <t>K82</t>
  </si>
  <si>
    <t>B410</t>
  </si>
  <si>
    <t>Egyéb működési bevételek</t>
  </si>
  <si>
    <t>Egyéb működési bevételek-Ktgek visszatérítései</t>
  </si>
  <si>
    <t>B402,B404,B406</t>
  </si>
  <si>
    <t>kofog?</t>
  </si>
  <si>
    <t>Könyvelendő még 653</t>
  </si>
  <si>
    <r>
      <t xml:space="preserve">Kormányzati funkció: 041231 Hosszabb időtartamú közfoglalkoztatás </t>
    </r>
    <r>
      <rPr>
        <sz val="8"/>
        <rFont val="Arial"/>
        <family val="2"/>
        <charset val="238"/>
      </rPr>
      <t xml:space="preserve">(890442 Foglalkoztatást helyettesítő támogatásra jogosultak hosszabb időtartamú közfoglalkoztatása) </t>
    </r>
    <r>
      <rPr>
        <b/>
        <sz val="8"/>
        <rFont val="Arial"/>
        <family val="2"/>
        <charset val="238"/>
      </rPr>
      <t>041233 Rövid időtartamú közfoglalkoztatás</t>
    </r>
  </si>
  <si>
    <t>Állami támogatás felülvizsgálata (2012. évi)</t>
  </si>
  <si>
    <t>B 11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</si>
</sst>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0%"/>
  </numFmts>
  <fonts count="29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b/>
      <sz val="7"/>
      <name val="Arial CE"/>
      <family val="2"/>
      <charset val="238"/>
    </font>
    <font>
      <b/>
      <sz val="10"/>
      <name val="Arial"/>
      <family val="2"/>
      <charset val="238"/>
    </font>
    <font>
      <sz val="6"/>
      <name val="Arial CE"/>
      <charset val="238"/>
    </font>
    <font>
      <b/>
      <sz val="7"/>
      <name val="Arial"/>
      <family val="2"/>
      <charset val="238"/>
    </font>
    <font>
      <b/>
      <i/>
      <sz val="8"/>
      <name val="Arial CE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6"/>
      <name val="Arial CE"/>
      <family val="2"/>
      <charset val="238"/>
    </font>
    <font>
      <sz val="11"/>
      <color theme="1"/>
      <name val="Times New Roman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8" fillId="0" borderId="0"/>
    <xf numFmtId="0" fontId="27" fillId="0" borderId="0"/>
  </cellStyleXfs>
  <cellXfs count="352">
    <xf numFmtId="0" fontId="0" fillId="0" borderId="0" xfId="0"/>
    <xf numFmtId="0" fontId="7" fillId="0" borderId="0" xfId="0" applyFont="1"/>
    <xf numFmtId="0" fontId="4" fillId="0" borderId="1" xfId="0" applyFont="1" applyBorder="1"/>
    <xf numFmtId="3" fontId="7" fillId="0" borderId="0" xfId="0" applyNumberFormat="1" applyFont="1"/>
    <xf numFmtId="0" fontId="4" fillId="0" borderId="1" xfId="0" applyFont="1" applyBorder="1" applyAlignment="1">
      <alignment horizontal="left"/>
    </xf>
    <xf numFmtId="0" fontId="6" fillId="0" borderId="0" xfId="0" applyFont="1"/>
    <xf numFmtId="3" fontId="2" fillId="0" borderId="0" xfId="0" applyNumberFormat="1" applyFont="1"/>
    <xf numFmtId="0" fontId="6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3" fontId="7" fillId="0" borderId="5" xfId="0" applyNumberFormat="1" applyFont="1" applyBorder="1"/>
    <xf numFmtId="0" fontId="2" fillId="0" borderId="5" xfId="0" applyFont="1" applyBorder="1"/>
    <xf numFmtId="0" fontId="6" fillId="0" borderId="5" xfId="0" applyFont="1" applyBorder="1"/>
    <xf numFmtId="0" fontId="9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right"/>
    </xf>
    <xf numFmtId="0" fontId="11" fillId="0" borderId="5" xfId="0" applyFont="1" applyBorder="1"/>
    <xf numFmtId="0" fontId="11" fillId="0" borderId="5" xfId="0" applyFont="1" applyBorder="1" applyAlignment="1">
      <alignment wrapText="1"/>
    </xf>
    <xf numFmtId="0" fontId="12" fillId="0" borderId="5" xfId="0" applyFont="1" applyBorder="1"/>
    <xf numFmtId="3" fontId="12" fillId="0" borderId="5" xfId="0" applyNumberFormat="1" applyFont="1" applyBorder="1"/>
    <xf numFmtId="0" fontId="1" fillId="0" borderId="5" xfId="0" applyFont="1" applyBorder="1"/>
    <xf numFmtId="3" fontId="6" fillId="0" borderId="5" xfId="0" applyNumberFormat="1" applyFont="1" applyBorder="1"/>
    <xf numFmtId="3" fontId="1" fillId="0" borderId="5" xfId="0" applyNumberFormat="1" applyFont="1" applyBorder="1"/>
    <xf numFmtId="0" fontId="4" fillId="0" borderId="0" xfId="0" applyFont="1" applyBorder="1"/>
    <xf numFmtId="3" fontId="7" fillId="2" borderId="0" xfId="0" applyNumberFormat="1" applyFont="1" applyFill="1"/>
    <xf numFmtId="3" fontId="7" fillId="2" borderId="5" xfId="0" applyNumberFormat="1" applyFont="1" applyFill="1" applyBorder="1"/>
    <xf numFmtId="0" fontId="7" fillId="2" borderId="5" xfId="0" applyFont="1" applyFill="1" applyBorder="1"/>
    <xf numFmtId="3" fontId="6" fillId="2" borderId="5" xfId="0" applyNumberFormat="1" applyFont="1" applyFill="1" applyBorder="1"/>
    <xf numFmtId="3" fontId="6" fillId="2" borderId="0" xfId="0" applyNumberFormat="1" applyFont="1" applyFill="1" applyBorder="1"/>
    <xf numFmtId="3" fontId="1" fillId="2" borderId="5" xfId="0" applyNumberFormat="1" applyFont="1" applyFill="1" applyBorder="1"/>
    <xf numFmtId="3" fontId="7" fillId="0" borderId="5" xfId="0" applyNumberFormat="1" applyFont="1" applyFill="1" applyBorder="1"/>
    <xf numFmtId="3" fontId="6" fillId="0" borderId="5" xfId="0" applyNumberFormat="1" applyFont="1" applyFill="1" applyBorder="1"/>
    <xf numFmtId="3" fontId="1" fillId="0" borderId="5" xfId="0" applyNumberFormat="1" applyFont="1" applyFill="1" applyBorder="1"/>
    <xf numFmtId="3" fontId="7" fillId="0" borderId="0" xfId="0" applyNumberFormat="1" applyFont="1" applyFill="1"/>
    <xf numFmtId="0" fontId="6" fillId="2" borderId="6" xfId="0" applyFont="1" applyFill="1" applyBorder="1" applyAlignment="1">
      <alignment wrapText="1"/>
    </xf>
    <xf numFmtId="3" fontId="7" fillId="2" borderId="6" xfId="0" applyNumberFormat="1" applyFont="1" applyFill="1" applyBorder="1"/>
    <xf numFmtId="3" fontId="7" fillId="2" borderId="7" xfId="0" applyNumberFormat="1" applyFont="1" applyFill="1" applyBorder="1"/>
    <xf numFmtId="3" fontId="7" fillId="2" borderId="8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5" fillId="0" borderId="5" xfId="1" applyFont="1" applyBorder="1" applyAlignment="1">
      <alignment wrapText="1"/>
    </xf>
    <xf numFmtId="0" fontId="6" fillId="2" borderId="11" xfId="0" applyFont="1" applyFill="1" applyBorder="1" applyAlignment="1">
      <alignment wrapText="1"/>
    </xf>
    <xf numFmtId="3" fontId="6" fillId="2" borderId="11" xfId="0" applyNumberFormat="1" applyFont="1" applyFill="1" applyBorder="1"/>
    <xf numFmtId="0" fontId="7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Border="1"/>
    <xf numFmtId="0" fontId="1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wrapText="1"/>
    </xf>
    <xf numFmtId="0" fontId="6" fillId="0" borderId="9" xfId="0" applyFont="1" applyBorder="1"/>
    <xf numFmtId="0" fontId="1" fillId="0" borderId="9" xfId="0" applyFont="1" applyBorder="1"/>
    <xf numFmtId="0" fontId="13" fillId="0" borderId="9" xfId="0" applyFont="1" applyBorder="1"/>
    <xf numFmtId="0" fontId="0" fillId="0" borderId="5" xfId="0" applyBorder="1"/>
    <xf numFmtId="0" fontId="16" fillId="0" borderId="1" xfId="0" applyFont="1" applyBorder="1"/>
    <xf numFmtId="0" fontId="2" fillId="0" borderId="1" xfId="0" applyFont="1" applyBorder="1"/>
    <xf numFmtId="0" fontId="4" fillId="0" borderId="12" xfId="0" applyFont="1" applyBorder="1"/>
    <xf numFmtId="0" fontId="5" fillId="0" borderId="1" xfId="0" applyFont="1" applyBorder="1"/>
    <xf numFmtId="0" fontId="15" fillId="0" borderId="1" xfId="0" applyFont="1" applyBorder="1"/>
    <xf numFmtId="0" fontId="8" fillId="0" borderId="5" xfId="0" applyFont="1" applyBorder="1"/>
    <xf numFmtId="0" fontId="17" fillId="0" borderId="5" xfId="0" applyFont="1" applyBorder="1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2" fillId="0" borderId="5" xfId="1" applyFont="1" applyBorder="1" applyAlignment="1">
      <alignment wrapText="1"/>
    </xf>
    <xf numFmtId="0" fontId="2" fillId="0" borderId="5" xfId="1" applyFont="1" applyBorder="1"/>
    <xf numFmtId="3" fontId="2" fillId="0" borderId="5" xfId="1" applyNumberFormat="1" applyFont="1" applyBorder="1" applyAlignment="1">
      <alignment wrapText="1"/>
    </xf>
    <xf numFmtId="0" fontId="2" fillId="2" borderId="5" xfId="0" applyFont="1" applyFill="1" applyBorder="1"/>
    <xf numFmtId="0" fontId="2" fillId="2" borderId="5" xfId="1" applyFont="1" applyFill="1" applyBorder="1" applyAlignment="1">
      <alignment wrapText="1"/>
    </xf>
    <xf numFmtId="3" fontId="2" fillId="2" borderId="5" xfId="1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3" fontId="2" fillId="2" borderId="5" xfId="0" applyNumberFormat="1" applyFont="1" applyFill="1" applyBorder="1"/>
    <xf numFmtId="0" fontId="5" fillId="2" borderId="5" xfId="0" applyFont="1" applyFill="1" applyBorder="1"/>
    <xf numFmtId="3" fontId="5" fillId="2" borderId="5" xfId="0" applyNumberFormat="1" applyFont="1" applyFill="1" applyBorder="1"/>
    <xf numFmtId="0" fontId="18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13" fillId="2" borderId="5" xfId="0" applyFont="1" applyFill="1" applyBorder="1"/>
    <xf numFmtId="0" fontId="5" fillId="2" borderId="5" xfId="0" applyFont="1" applyFill="1" applyBorder="1" applyAlignment="1">
      <alignment horizontal="left" vertical="top" wrapText="1"/>
    </xf>
    <xf numFmtId="3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8" fillId="2" borderId="5" xfId="0" applyFont="1" applyFill="1" applyBorder="1"/>
    <xf numFmtId="0" fontId="3" fillId="2" borderId="1" xfId="0" applyFont="1" applyFill="1" applyBorder="1"/>
    <xf numFmtId="0" fontId="17" fillId="2" borderId="5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3" fontId="11" fillId="2" borderId="5" xfId="0" applyNumberFormat="1" applyFont="1" applyFill="1" applyBorder="1"/>
    <xf numFmtId="4" fontId="2" fillId="2" borderId="5" xfId="0" applyNumberFormat="1" applyFont="1" applyFill="1" applyBorder="1"/>
    <xf numFmtId="164" fontId="2" fillId="2" borderId="5" xfId="0" applyNumberFormat="1" applyFont="1" applyFill="1" applyBorder="1"/>
    <xf numFmtId="0" fontId="2" fillId="0" borderId="5" xfId="0" applyFont="1" applyFill="1" applyBorder="1"/>
    <xf numFmtId="0" fontId="15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164" fontId="2" fillId="0" borderId="5" xfId="0" applyNumberFormat="1" applyFont="1" applyFill="1" applyBorder="1"/>
    <xf numFmtId="3" fontId="2" fillId="0" borderId="5" xfId="0" applyNumberFormat="1" applyFont="1" applyFill="1" applyBorder="1"/>
    <xf numFmtId="0" fontId="2" fillId="0" borderId="5" xfId="0" applyFont="1" applyFill="1" applyBorder="1" applyAlignment="1">
      <alignment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wrapText="1"/>
    </xf>
    <xf numFmtId="3" fontId="5" fillId="3" borderId="5" xfId="0" applyNumberFormat="1" applyFont="1" applyFill="1" applyBorder="1"/>
    <xf numFmtId="0" fontId="2" fillId="4" borderId="5" xfId="0" applyFont="1" applyFill="1" applyBorder="1"/>
    <xf numFmtId="0" fontId="5" fillId="4" borderId="5" xfId="0" applyFont="1" applyFill="1" applyBorder="1" applyAlignment="1">
      <alignment wrapText="1"/>
    </xf>
    <xf numFmtId="3" fontId="5" fillId="4" borderId="5" xfId="0" applyNumberFormat="1" applyFont="1" applyFill="1" applyBorder="1"/>
    <xf numFmtId="0" fontId="2" fillId="0" borderId="1" xfId="0" applyFont="1" applyBorder="1" applyAlignment="1">
      <alignment wrapText="1"/>
    </xf>
    <xf numFmtId="49" fontId="6" fillId="0" borderId="0" xfId="0" applyNumberFormat="1" applyFont="1"/>
    <xf numFmtId="49" fontId="6" fillId="0" borderId="5" xfId="0" applyNumberFormat="1" applyFont="1" applyBorder="1"/>
    <xf numFmtId="49" fontId="6" fillId="2" borderId="5" xfId="0" applyNumberFormat="1" applyFont="1" applyFill="1" applyBorder="1"/>
    <xf numFmtId="0" fontId="6" fillId="2" borderId="5" xfId="0" applyFont="1" applyFill="1" applyBorder="1"/>
    <xf numFmtId="49" fontId="6" fillId="0" borderId="0" xfId="0" applyNumberFormat="1" applyFont="1" applyAlignment="1">
      <alignment horizontal="left"/>
    </xf>
    <xf numFmtId="0" fontId="14" fillId="0" borderId="13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14" fontId="1" fillId="0" borderId="5" xfId="0" applyNumberFormat="1" applyFont="1" applyBorder="1"/>
    <xf numFmtId="14" fontId="1" fillId="2" borderId="5" xfId="0" applyNumberFormat="1" applyFont="1" applyFill="1" applyBorder="1"/>
    <xf numFmtId="3" fontId="6" fillId="0" borderId="0" xfId="0" applyNumberFormat="1" applyFont="1" applyBorder="1"/>
    <xf numFmtId="0" fontId="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11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0" fillId="2" borderId="5" xfId="0" applyFill="1" applyBorder="1"/>
    <xf numFmtId="0" fontId="6" fillId="2" borderId="9" xfId="0" applyFont="1" applyFill="1" applyBorder="1"/>
    <xf numFmtId="0" fontId="1" fillId="2" borderId="9" xfId="0" applyFont="1" applyFill="1" applyBorder="1"/>
    <xf numFmtId="0" fontId="13" fillId="2" borderId="9" xfId="0" applyFont="1" applyFill="1" applyBorder="1"/>
    <xf numFmtId="0" fontId="13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2" fillId="2" borderId="1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6" fillId="2" borderId="1" xfId="0" applyFont="1" applyFill="1" applyBorder="1"/>
    <xf numFmtId="0" fontId="6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1" fillId="3" borderId="5" xfId="0" applyFont="1" applyFill="1" applyBorder="1"/>
    <xf numFmtId="0" fontId="6" fillId="4" borderId="9" xfId="0" applyFont="1" applyFill="1" applyBorder="1" applyAlignment="1"/>
    <xf numFmtId="0" fontId="1" fillId="4" borderId="5" xfId="0" applyFont="1" applyFill="1" applyBorder="1"/>
    <xf numFmtId="0" fontId="6" fillId="4" borderId="13" xfId="0" applyFont="1" applyFill="1" applyBorder="1" applyAlignment="1"/>
    <xf numFmtId="3" fontId="6" fillId="3" borderId="5" xfId="0" applyNumberFormat="1" applyFont="1" applyFill="1" applyBorder="1"/>
    <xf numFmtId="3" fontId="6" fillId="4" borderId="5" xfId="0" applyNumberFormat="1" applyFont="1" applyFill="1" applyBorder="1"/>
    <xf numFmtId="49" fontId="1" fillId="0" borderId="5" xfId="0" applyNumberFormat="1" applyFont="1" applyBorder="1"/>
    <xf numFmtId="0" fontId="6" fillId="3" borderId="5" xfId="0" applyFont="1" applyFill="1" applyBorder="1"/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/>
    <xf numFmtId="4" fontId="1" fillId="0" borderId="5" xfId="0" applyNumberFormat="1" applyFont="1" applyBorder="1"/>
    <xf numFmtId="0" fontId="8" fillId="0" borderId="0" xfId="0" applyFont="1"/>
    <xf numFmtId="0" fontId="13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10" xfId="0" applyFont="1" applyFill="1" applyBorder="1"/>
    <xf numFmtId="0" fontId="0" fillId="3" borderId="5" xfId="0" applyFill="1" applyBorder="1"/>
    <xf numFmtId="3" fontId="13" fillId="0" borderId="0" xfId="0" applyNumberFormat="1" applyFont="1"/>
    <xf numFmtId="3" fontId="1" fillId="0" borderId="13" xfId="0" applyNumberFormat="1" applyFont="1" applyBorder="1"/>
    <xf numFmtId="0" fontId="1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" fillId="2" borderId="6" xfId="0" applyFont="1" applyFill="1" applyBorder="1"/>
    <xf numFmtId="3" fontId="6" fillId="2" borderId="8" xfId="0" applyNumberFormat="1" applyFont="1" applyFill="1" applyBorder="1"/>
    <xf numFmtId="3" fontId="7" fillId="2" borderId="13" xfId="0" applyNumberFormat="1" applyFont="1" applyFill="1" applyBorder="1"/>
    <xf numFmtId="0" fontId="7" fillId="2" borderId="5" xfId="0" applyFont="1" applyFill="1" applyBorder="1" applyAlignment="1">
      <alignment wrapText="1"/>
    </xf>
    <xf numFmtId="3" fontId="6" fillId="2" borderId="14" xfId="0" applyNumberFormat="1" applyFont="1" applyFill="1" applyBorder="1"/>
    <xf numFmtId="0" fontId="14" fillId="0" borderId="5" xfId="0" applyFont="1" applyBorder="1" applyAlignment="1">
      <alignment wrapText="1"/>
    </xf>
    <xf numFmtId="0" fontId="13" fillId="0" borderId="5" xfId="0" applyFont="1" applyBorder="1"/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right"/>
    </xf>
    <xf numFmtId="0" fontId="1" fillId="5" borderId="5" xfId="0" applyFont="1" applyFill="1" applyBorder="1"/>
    <xf numFmtId="49" fontId="6" fillId="5" borderId="5" xfId="0" applyNumberFormat="1" applyFont="1" applyFill="1" applyBorder="1"/>
    <xf numFmtId="3" fontId="7" fillId="5" borderId="5" xfId="0" applyNumberFormat="1" applyFont="1" applyFill="1" applyBorder="1"/>
    <xf numFmtId="0" fontId="0" fillId="5" borderId="0" xfId="0" applyFill="1"/>
    <xf numFmtId="0" fontId="4" fillId="5" borderId="1" xfId="0" applyFont="1" applyFill="1" applyBorder="1" applyAlignment="1">
      <alignment horizontal="left"/>
    </xf>
    <xf numFmtId="0" fontId="17" fillId="0" borderId="0" xfId="0" applyFont="1"/>
    <xf numFmtId="0" fontId="0" fillId="5" borderId="5" xfId="0" applyFill="1" applyBorder="1"/>
    <xf numFmtId="0" fontId="4" fillId="5" borderId="1" xfId="0" applyFont="1" applyFill="1" applyBorder="1"/>
    <xf numFmtId="0" fontId="7" fillId="5" borderId="5" xfId="0" applyFont="1" applyFill="1" applyBorder="1"/>
    <xf numFmtId="0" fontId="6" fillId="5" borderId="9" xfId="0" applyFont="1" applyFill="1" applyBorder="1"/>
    <xf numFmtId="3" fontId="7" fillId="5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0" xfId="0" applyFont="1" applyFill="1" applyBorder="1"/>
    <xf numFmtId="0" fontId="25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/>
    <xf numFmtId="0" fontId="24" fillId="5" borderId="1" xfId="0" applyFont="1" applyFill="1" applyBorder="1"/>
    <xf numFmtId="3" fontId="6" fillId="5" borderId="5" xfId="0" applyNumberFormat="1" applyFont="1" applyFill="1" applyBorder="1"/>
    <xf numFmtId="3" fontId="1" fillId="5" borderId="5" xfId="0" applyNumberFormat="1" applyFont="1" applyFill="1" applyBorder="1"/>
    <xf numFmtId="0" fontId="4" fillId="5" borderId="9" xfId="0" applyFont="1" applyFill="1" applyBorder="1" applyAlignment="1">
      <alignment horizontal="left"/>
    </xf>
    <xf numFmtId="0" fontId="4" fillId="5" borderId="9" xfId="0" applyFont="1" applyFill="1" applyBorder="1" applyAlignment="1"/>
    <xf numFmtId="0" fontId="17" fillId="5" borderId="5" xfId="0" applyFont="1" applyFill="1" applyBorder="1"/>
    <xf numFmtId="0" fontId="23" fillId="0" borderId="0" xfId="0" applyFont="1"/>
    <xf numFmtId="0" fontId="1" fillId="0" borderId="0" xfId="0" applyFont="1" applyAlignment="1">
      <alignment horizontal="right"/>
    </xf>
    <xf numFmtId="0" fontId="0" fillId="0" borderId="10" xfId="0" applyBorder="1"/>
    <xf numFmtId="49" fontId="6" fillId="5" borderId="5" xfId="0" applyNumberFormat="1" applyFont="1" applyFill="1" applyBorder="1" applyAlignment="1">
      <alignment horizontal="left"/>
    </xf>
    <xf numFmtId="0" fontId="6" fillId="5" borderId="9" xfId="0" applyFont="1" applyFill="1" applyBorder="1" applyAlignment="1"/>
    <xf numFmtId="0" fontId="0" fillId="0" borderId="0" xfId="0" applyFill="1"/>
    <xf numFmtId="0" fontId="8" fillId="0" borderId="0" xfId="0" applyFont="1" applyFill="1"/>
    <xf numFmtId="0" fontId="1" fillId="0" borderId="5" xfId="0" applyFont="1" applyFill="1" applyBorder="1"/>
    <xf numFmtId="49" fontId="6" fillId="0" borderId="5" xfId="0" applyNumberFormat="1" applyFont="1" applyFill="1" applyBorder="1"/>
    <xf numFmtId="0" fontId="4" fillId="0" borderId="1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0" fillId="0" borderId="0" xfId="0" applyFill="1" applyBorder="1"/>
    <xf numFmtId="0" fontId="22" fillId="0" borderId="0" xfId="0" applyFont="1" applyFill="1" applyBorder="1"/>
    <xf numFmtId="4" fontId="2" fillId="0" borderId="5" xfId="0" applyNumberFormat="1" applyFont="1" applyFill="1" applyBorder="1"/>
    <xf numFmtId="0" fontId="13" fillId="0" borderId="5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26" fillId="2" borderId="1" xfId="0" applyFont="1" applyFill="1" applyBorder="1"/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3" fontId="1" fillId="5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1" fillId="7" borderId="5" xfId="0" applyFont="1" applyFill="1" applyBorder="1"/>
    <xf numFmtId="3" fontId="7" fillId="7" borderId="5" xfId="0" applyNumberFormat="1" applyFont="1" applyFill="1" applyBorder="1"/>
    <xf numFmtId="0" fontId="0" fillId="7" borderId="0" xfId="0" applyFill="1"/>
    <xf numFmtId="0" fontId="1" fillId="0" borderId="9" xfId="0" applyFont="1" applyFill="1" applyBorder="1"/>
    <xf numFmtId="4" fontId="28" fillId="0" borderId="0" xfId="0" applyNumberFormat="1" applyFont="1"/>
    <xf numFmtId="0" fontId="0" fillId="8" borderId="0" xfId="0" applyFill="1"/>
    <xf numFmtId="3" fontId="0" fillId="8" borderId="0" xfId="0" applyNumberFormat="1" applyFill="1"/>
    <xf numFmtId="0" fontId="0" fillId="9" borderId="0" xfId="0" applyFill="1"/>
    <xf numFmtId="3" fontId="0" fillId="7" borderId="0" xfId="0" applyNumberFormat="1" applyFill="1"/>
    <xf numFmtId="0" fontId="17" fillId="7" borderId="0" xfId="0" applyFont="1" applyFill="1"/>
    <xf numFmtId="0" fontId="0" fillId="10" borderId="0" xfId="0" applyFill="1"/>
    <xf numFmtId="3" fontId="0" fillId="10" borderId="0" xfId="0" applyNumberFormat="1" applyFill="1"/>
    <xf numFmtId="0" fontId="0" fillId="11" borderId="0" xfId="0" applyFill="1"/>
    <xf numFmtId="3" fontId="0" fillId="11" borderId="0" xfId="0" applyNumberFormat="1" applyFill="1"/>
    <xf numFmtId="0" fontId="1" fillId="0" borderId="1" xfId="0" applyFont="1" applyFill="1" applyBorder="1"/>
    <xf numFmtId="0" fontId="7" fillId="0" borderId="1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3" fontId="6" fillId="7" borderId="0" xfId="0" applyNumberFormat="1" applyFont="1" applyFill="1"/>
    <xf numFmtId="49" fontId="6" fillId="7" borderId="5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0" fontId="14" fillId="0" borderId="1" xfId="0" applyFont="1" applyFill="1" applyBorder="1"/>
    <xf numFmtId="0" fontId="6" fillId="0" borderId="5" xfId="0" applyFont="1" applyFill="1" applyBorder="1"/>
    <xf numFmtId="0" fontId="22" fillId="5" borderId="13" xfId="0" applyFont="1" applyFill="1" applyBorder="1"/>
    <xf numFmtId="49" fontId="6" fillId="5" borderId="1" xfId="0" applyNumberFormat="1" applyFont="1" applyFill="1" applyBorder="1"/>
    <xf numFmtId="0" fontId="7" fillId="5" borderId="1" xfId="0" applyFont="1" applyFill="1" applyBorder="1"/>
    <xf numFmtId="3" fontId="7" fillId="5" borderId="1" xfId="0" applyNumberFormat="1" applyFont="1" applyFill="1" applyBorder="1"/>
    <xf numFmtId="3" fontId="7" fillId="5" borderId="9" xfId="0" applyNumberFormat="1" applyFont="1" applyFill="1" applyBorder="1"/>
    <xf numFmtId="3" fontId="3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0" fontId="7" fillId="0" borderId="5" xfId="0" applyFont="1" applyFill="1" applyBorder="1"/>
    <xf numFmtId="0" fontId="3" fillId="2" borderId="5" xfId="0" applyFont="1" applyFill="1" applyBorder="1" applyAlignment="1">
      <alignment wrapText="1"/>
    </xf>
    <xf numFmtId="0" fontId="17" fillId="0" borderId="0" xfId="0" applyFont="1" applyAlignment="1"/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3" fontId="1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/>
    <xf numFmtId="4" fontId="28" fillId="0" borderId="0" xfId="0" applyNumberFormat="1" applyFont="1" applyFill="1"/>
    <xf numFmtId="0" fontId="4" fillId="0" borderId="1" xfId="0" applyFont="1" applyFill="1" applyBorder="1" applyAlignment="1">
      <alignment wrapText="1"/>
    </xf>
    <xf numFmtId="3" fontId="6" fillId="6" borderId="13" xfId="0" applyNumberFormat="1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center"/>
    </xf>
    <xf numFmtId="3" fontId="6" fillId="6" borderId="9" xfId="0" applyNumberFormat="1" applyFont="1" applyFill="1" applyBorder="1" applyAlignment="1">
      <alignment horizontal="center"/>
    </xf>
    <xf numFmtId="3" fontId="6" fillId="5" borderId="13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0" fillId="0" borderId="0" xfId="0" applyAlignment="1"/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0" borderId="0" xfId="2" applyFont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3" fontId="6" fillId="0" borderId="13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9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4">
    <cellStyle name="Normál" xfId="0" builtinId="0"/>
    <cellStyle name="Normál 2" xfId="1"/>
    <cellStyle name="Normál 4" xfId="2"/>
    <cellStyle name="Normál 6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116</xdr:row>
      <xdr:rowOff>95250</xdr:rowOff>
    </xdr:from>
    <xdr:to>
      <xdr:col>19</xdr:col>
      <xdr:colOff>152400</xdr:colOff>
      <xdr:row>119</xdr:row>
      <xdr:rowOff>142875</xdr:rowOff>
    </xdr:to>
    <xdr:sp macro="" textlink="">
      <xdr:nvSpPr>
        <xdr:cNvPr id="2" name="Jobb oldali kapcsos zárójel 1"/>
        <xdr:cNvSpPr/>
      </xdr:nvSpPr>
      <xdr:spPr>
        <a:xfrm>
          <a:off x="7067550" y="21145500"/>
          <a:ext cx="104775" cy="695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hu-H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ronen\AppData\Local\Microsoft\Windows\Temporary%20Internet%20Files\Content.IE5\5YKFQQP3\M&#225;rt&#233;ly%202014.%203.%20sz.%20ktgvet&#233;s%20m&#243;dos&#237;t&#225;s%20&#246;sszes&#237;t&#3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ódosítások párhuzamba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topLeftCell="B1" zoomScaleSheetLayoutView="100" workbookViewId="0">
      <pane ySplit="7" topLeftCell="A189" activePane="bottomLeft" state="frozen"/>
      <selection activeCell="G14" sqref="G14"/>
      <selection pane="bottomLeft" activeCell="B221" sqref="B221"/>
    </sheetView>
  </sheetViews>
  <sheetFormatPr defaultRowHeight="12.75"/>
  <cols>
    <col min="1" max="1" width="11.140625" customWidth="1"/>
    <col min="2" max="2" width="38.42578125" style="1" customWidth="1"/>
    <col min="3" max="3" width="8.5703125" style="1" customWidth="1"/>
    <col min="4" max="4" width="12.85546875" style="1" hidden="1" customWidth="1"/>
    <col min="5" max="5" width="10.85546875" style="1" hidden="1" customWidth="1"/>
    <col min="6" max="6" width="8.85546875" style="1" hidden="1" customWidth="1"/>
    <col min="7" max="7" width="8.5703125" style="1" hidden="1" customWidth="1"/>
    <col min="8" max="8" width="8.140625" style="1" hidden="1" customWidth="1"/>
    <col min="9" max="11" width="9.42578125" style="1" customWidth="1"/>
    <col min="12" max="12" width="8.42578125" style="1" customWidth="1"/>
    <col min="13" max="13" width="10.7109375" style="1" hidden="1" customWidth="1"/>
    <col min="14" max="14" width="10" style="1" hidden="1" customWidth="1"/>
    <col min="15" max="15" width="10.28515625" style="1" hidden="1" customWidth="1"/>
    <col min="16" max="16" width="8.42578125" style="1" hidden="1" customWidth="1"/>
    <col min="17" max="17" width="8" style="1" hidden="1" customWidth="1"/>
    <col min="18" max="20" width="9.28515625" style="1" customWidth="1"/>
  </cols>
  <sheetData>
    <row r="1" spans="1:22">
      <c r="L1" s="95"/>
      <c r="M1" s="95"/>
      <c r="N1" s="95"/>
      <c r="O1" s="95"/>
      <c r="P1" s="95"/>
      <c r="Q1" s="95"/>
      <c r="R1" s="95"/>
      <c r="T1" s="95" t="s">
        <v>1676</v>
      </c>
      <c r="V1" s="12"/>
    </row>
    <row r="2" spans="1:22">
      <c r="A2" s="273" t="s">
        <v>1422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V2" s="12"/>
    </row>
    <row r="3" spans="1:22" ht="20.25" customHeight="1">
      <c r="A3" s="273" t="s">
        <v>702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V3" s="12"/>
    </row>
    <row r="4" spans="1:22">
      <c r="A4" s="74"/>
      <c r="B4" s="120"/>
      <c r="C4" s="45"/>
      <c r="D4" s="3"/>
      <c r="E4" s="3"/>
      <c r="F4" s="3"/>
      <c r="G4" s="3"/>
      <c r="H4" s="3"/>
      <c r="I4" s="3"/>
      <c r="J4" s="3"/>
      <c r="K4" s="3"/>
      <c r="L4" s="3"/>
      <c r="M4" s="3"/>
      <c r="N4" s="174"/>
      <c r="O4" s="174"/>
      <c r="P4" s="174"/>
      <c r="Q4" s="174"/>
      <c r="R4" s="174"/>
      <c r="S4" s="174"/>
      <c r="T4" s="174"/>
      <c r="V4" s="12"/>
    </row>
    <row r="5" spans="1:22" ht="12.75" customHeight="1">
      <c r="A5" s="274" t="s">
        <v>1421</v>
      </c>
      <c r="B5" s="275" t="s">
        <v>1423</v>
      </c>
      <c r="C5" s="282" t="s">
        <v>1276</v>
      </c>
      <c r="D5" s="283"/>
      <c r="E5" s="283"/>
      <c r="F5" s="283"/>
      <c r="G5" s="283"/>
      <c r="H5" s="283"/>
      <c r="I5" s="283"/>
      <c r="J5" s="283"/>
      <c r="K5" s="284"/>
      <c r="L5" s="285" t="s">
        <v>1277</v>
      </c>
      <c r="M5" s="286"/>
      <c r="N5" s="286"/>
      <c r="O5" s="286"/>
      <c r="P5" s="286"/>
      <c r="Q5" s="286"/>
      <c r="R5" s="286"/>
      <c r="S5" s="286"/>
      <c r="T5" s="287"/>
      <c r="V5" s="12"/>
    </row>
    <row r="6" spans="1:22" ht="33.75">
      <c r="A6" s="276"/>
      <c r="B6" s="276"/>
      <c r="C6" s="238" t="s">
        <v>1278</v>
      </c>
      <c r="D6" s="234" t="s">
        <v>696</v>
      </c>
      <c r="E6" s="234" t="s">
        <v>698</v>
      </c>
      <c r="F6" s="234" t="s">
        <v>696</v>
      </c>
      <c r="G6" s="234" t="s">
        <v>698</v>
      </c>
      <c r="H6" s="234" t="s">
        <v>696</v>
      </c>
      <c r="I6" s="234" t="s">
        <v>698</v>
      </c>
      <c r="J6" s="234" t="s">
        <v>1689</v>
      </c>
      <c r="K6" s="234" t="s">
        <v>698</v>
      </c>
      <c r="L6" s="199" t="s">
        <v>1278</v>
      </c>
      <c r="M6" s="234" t="s">
        <v>696</v>
      </c>
      <c r="N6" s="234" t="s">
        <v>698</v>
      </c>
      <c r="O6" s="234" t="s">
        <v>696</v>
      </c>
      <c r="P6" s="234" t="s">
        <v>698</v>
      </c>
      <c r="Q6" s="234" t="s">
        <v>696</v>
      </c>
      <c r="R6" s="234" t="s">
        <v>698</v>
      </c>
      <c r="S6" s="234" t="s">
        <v>1689</v>
      </c>
      <c r="T6" s="234" t="s">
        <v>698</v>
      </c>
      <c r="V6" s="12"/>
    </row>
    <row r="7" spans="1:22" ht="22.5" customHeight="1">
      <c r="A7" s="195"/>
      <c r="B7" s="202" t="s">
        <v>1275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V7" s="12"/>
    </row>
    <row r="8" spans="1:22">
      <c r="A8" s="64"/>
      <c r="B8" s="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V8" s="12"/>
    </row>
    <row r="9" spans="1:22">
      <c r="A9" s="64"/>
      <c r="B9" s="4" t="s">
        <v>1280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V9" s="12"/>
    </row>
    <row r="10" spans="1:22">
      <c r="A10" s="71" t="s">
        <v>1442</v>
      </c>
      <c r="B10" s="2" t="s">
        <v>1281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V10" s="12"/>
    </row>
    <row r="11" spans="1:22">
      <c r="A11" s="70" t="s">
        <v>1439</v>
      </c>
      <c r="B11" s="58" t="s">
        <v>1281</v>
      </c>
      <c r="C11" s="29"/>
      <c r="D11" s="29"/>
      <c r="E11" s="29"/>
      <c r="F11" s="29"/>
      <c r="G11" s="29"/>
      <c r="H11" s="29"/>
      <c r="I11" s="29"/>
      <c r="J11" s="29"/>
      <c r="K11" s="29"/>
      <c r="L11" s="28">
        <f>SUM('1. melléklet - Önkormányzat'!M25+'1. melléklet - Önkormányzat'!M44+'1. melléklet - Önkormányzat'!M62+'1. melléklet - Önkormányzat'!M87+'1. melléklet - Önkormányzat'!M185+'1. melléklet - Önkormányzat'!M195+'1. melléklet - Önkormányzat'!M214+'1. melléklet - Önkormányzat'!M309+'1. melléklet - Önkormányzat'!M348+'1. melléklet - Önkormányzat'!M365)</f>
        <v>15264</v>
      </c>
      <c r="M11" s="28">
        <f>SUM('1. melléklet - Önkormányzat'!N25+'1. melléklet - Önkormányzat'!N44+'1. melléklet - Önkormányzat'!N62+'1. melléklet - Önkormányzat'!N87+'1. melléklet - Önkormányzat'!N185+'1. melléklet - Önkormányzat'!N195+'1. melléklet - Önkormányzat'!N214+'1. melléklet - Önkormányzat'!N309+'1. melléklet - Önkormányzat'!N348+'1. melléklet - Önkormányzat'!N365)</f>
        <v>0</v>
      </c>
      <c r="N11" s="28">
        <f>SUM('1. melléklet - Önkormányzat'!O25+'1. melléklet - Önkormányzat'!O44+'1. melléklet - Önkormányzat'!O62+'1. melléklet - Önkormányzat'!O87+'1. melléklet - Önkormányzat'!O185+'1. melléklet - Önkormányzat'!O195+'1. melléklet - Önkormányzat'!O214+'1. melléklet - Önkormányzat'!O309+'1. melléklet - Önkormányzat'!O348+'1. melléklet - Önkormányzat'!O365)</f>
        <v>15264</v>
      </c>
      <c r="O11" s="28">
        <f>SUM('1. melléklet - Önkormányzat'!P25+'1. melléklet - Önkormányzat'!P44+'1. melléklet - Önkormányzat'!P62+'1. melléklet - Önkormányzat'!P87+'1. melléklet - Önkormányzat'!P185+'1. melléklet - Önkormányzat'!P195+'1. melléklet - Önkormányzat'!P214+'1. melléklet - Önkormányzat'!P309+'1. melléklet - Önkormányzat'!P348+'1. melléklet - Önkormányzat'!P365)</f>
        <v>0</v>
      </c>
      <c r="P11" s="28">
        <f>SUM('1. melléklet - Önkormányzat'!Q25+'1. melléklet - Önkormányzat'!Q44+'1. melléklet - Önkormányzat'!Q62+'1. melléklet - Önkormányzat'!Q87+'1. melléklet - Önkormányzat'!Q185+'1. melléklet - Önkormányzat'!Q195+'1. melléklet - Önkormányzat'!Q214+'1. melléklet - Önkormányzat'!Q309+'1. melléklet - Önkormányzat'!Q348+'1. melléklet - Önkormányzat'!Q365)</f>
        <v>15264</v>
      </c>
      <c r="Q11" s="28">
        <f>SUM('1. melléklet - Önkormányzat'!R25+'1. melléklet - Önkormányzat'!R44+'1. melléklet - Önkormányzat'!R62+'1. melléklet - Önkormányzat'!R87+'1. melléklet - Önkormányzat'!R185+'1. melléklet - Önkormányzat'!R195+'1. melléklet - Önkormányzat'!R214+'1. melléklet - Önkormányzat'!R309+'1. melléklet - Önkormányzat'!R348+'1. melléklet - Önkormányzat'!R365)</f>
        <v>2503</v>
      </c>
      <c r="R11" s="28">
        <f>SUM('1. melléklet - Önkormányzat'!S25+'1. melléklet - Önkormányzat'!S44+'1. melléklet - Önkormányzat'!S62+'1. melléklet - Önkormányzat'!S87+'1. melléklet - Önkormányzat'!S185+'1. melléklet - Önkormányzat'!S195+'1. melléklet - Önkormányzat'!S214+'1. melléklet - Önkormányzat'!S309+'1. melléklet - Önkormányzat'!S348+'1. melléklet - Önkormányzat'!S365)</f>
        <v>17767</v>
      </c>
      <c r="S11" s="28">
        <f>SUM('1. melléklet - Önkormányzat'!T25+'1. melléklet - Önkormányzat'!T44+'1. melléklet - Önkormányzat'!T62+'1. melléklet - Önkormányzat'!T87+'1. melléklet - Önkormányzat'!T185+'1. melléklet - Önkormányzat'!T195+'1. melléklet - Önkormányzat'!T214+'1. melléklet - Önkormányzat'!T309+'1. melléklet - Önkormányzat'!T348+'1. melléklet - Önkormányzat'!T365)</f>
        <v>-10067</v>
      </c>
      <c r="T11" s="28">
        <f>SUM('1. melléklet - Önkormányzat'!U25+'1. melléklet - Önkormányzat'!U44+'1. melléklet - Önkormányzat'!U62+'1. melléklet - Önkormányzat'!U87+'1. melléklet - Önkormányzat'!U185+'1. melléklet - Önkormányzat'!U195+'1. melléklet - Önkormányzat'!U214+'1. melléklet - Önkormányzat'!U309+'1. melléklet - Önkormányzat'!U348+'1. melléklet - Önkormányzat'!U365)</f>
        <v>7700</v>
      </c>
      <c r="V11" s="12"/>
    </row>
    <row r="12" spans="1:22">
      <c r="A12" s="70" t="s">
        <v>1451</v>
      </c>
      <c r="B12" s="51" t="s">
        <v>1282</v>
      </c>
      <c r="C12" s="29"/>
      <c r="D12" s="29"/>
      <c r="E12" s="29"/>
      <c r="F12" s="29"/>
      <c r="G12" s="29"/>
      <c r="H12" s="29"/>
      <c r="I12" s="29"/>
      <c r="J12" s="29"/>
      <c r="K12" s="29"/>
      <c r="L12" s="28">
        <f>SUM('1. melléklet - Önkormányzat'!M88+'1. melléklet - Önkormányzat'!M186+'1. melléklet - Önkormányzat'!M196)</f>
        <v>905</v>
      </c>
      <c r="M12" s="28">
        <f>SUM('1. melléklet - Önkormányzat'!N88+'1. melléklet - Önkormányzat'!N186+'1. melléklet - Önkormányzat'!N196)</f>
        <v>0</v>
      </c>
      <c r="N12" s="28">
        <f>SUM('1. melléklet - Önkormányzat'!O88+'1. melléklet - Önkormányzat'!O186+'1. melléklet - Önkormányzat'!O196)</f>
        <v>905</v>
      </c>
      <c r="O12" s="28">
        <f>SUM('1. melléklet - Önkormányzat'!P88+'1. melléklet - Önkormányzat'!P186+'1. melléklet - Önkormányzat'!P196)</f>
        <v>0</v>
      </c>
      <c r="P12" s="28">
        <f>SUM('1. melléklet - Önkormányzat'!Q88+'1. melléklet - Önkormányzat'!Q186+'1. melléklet - Önkormányzat'!Q196)</f>
        <v>905</v>
      </c>
      <c r="Q12" s="28">
        <f>SUM('1. melléklet - Önkormányzat'!R88+'1. melléklet - Önkormányzat'!R186+'1. melléklet - Önkormányzat'!R196)</f>
        <v>0</v>
      </c>
      <c r="R12" s="28">
        <f>SUM('1. melléklet - Önkormányzat'!S88+'1. melléklet - Önkormányzat'!S186+'1. melléklet - Önkormányzat'!S196)</f>
        <v>905</v>
      </c>
      <c r="S12" s="28">
        <f>SUM('1. melléklet - Önkormányzat'!T88+'1. melléklet - Önkormányzat'!T186+'1. melléklet - Önkormányzat'!T196)</f>
        <v>0</v>
      </c>
      <c r="T12" s="28">
        <f>SUM('1. melléklet - Önkormányzat'!U88+'1. melléklet - Önkormányzat'!U186+'1. melléklet - Önkormányzat'!U196)</f>
        <v>905</v>
      </c>
      <c r="V12" s="12"/>
    </row>
    <row r="13" spans="1:22">
      <c r="A13" s="70" t="s">
        <v>1548</v>
      </c>
      <c r="B13" s="58" t="s">
        <v>1549</v>
      </c>
      <c r="C13" s="29"/>
      <c r="D13" s="29"/>
      <c r="E13" s="29"/>
      <c r="F13" s="29"/>
      <c r="G13" s="29"/>
      <c r="H13" s="29"/>
      <c r="I13" s="29"/>
      <c r="J13" s="29"/>
      <c r="K13" s="29"/>
      <c r="L13" s="28">
        <f>SUM('1. melléklet - Önkormányzat'!M31)</f>
        <v>4235</v>
      </c>
      <c r="M13" s="28">
        <f>SUM('1. melléklet - Önkormányzat'!N31)</f>
        <v>0</v>
      </c>
      <c r="N13" s="28">
        <f>SUM('1. melléklet - Önkormányzat'!O31)</f>
        <v>4235</v>
      </c>
      <c r="O13" s="28">
        <f>SUM('1. melléklet - Önkormányzat'!P31)</f>
        <v>0</v>
      </c>
      <c r="P13" s="28">
        <f>SUM('1. melléklet - Önkormányzat'!Q31)</f>
        <v>4235</v>
      </c>
      <c r="Q13" s="28">
        <f>SUM('1. melléklet - Önkormányzat'!R31)</f>
        <v>0</v>
      </c>
      <c r="R13" s="28">
        <f>SUM('1. melléklet - Önkormányzat'!S31)</f>
        <v>4235</v>
      </c>
      <c r="S13" s="28">
        <f>SUM('1. melléklet - Önkormányzat'!T31)</f>
        <v>0</v>
      </c>
      <c r="T13" s="28">
        <f>SUM('1. melléklet - Önkormányzat'!U31)</f>
        <v>4235</v>
      </c>
      <c r="V13" s="12"/>
    </row>
    <row r="14" spans="1:22">
      <c r="A14" s="71" t="s">
        <v>1442</v>
      </c>
      <c r="B14" s="2" t="s">
        <v>1533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V14" s="12"/>
    </row>
    <row r="15" spans="1:22" ht="22.5">
      <c r="A15" s="70" t="s">
        <v>1642</v>
      </c>
      <c r="B15" s="119" t="s">
        <v>1643</v>
      </c>
      <c r="C15" s="29"/>
      <c r="D15" s="29"/>
      <c r="E15" s="29"/>
      <c r="F15" s="29"/>
      <c r="G15" s="29"/>
      <c r="H15" s="29"/>
      <c r="I15" s="29"/>
      <c r="J15" s="29"/>
      <c r="K15" s="29"/>
      <c r="L15" s="28">
        <f>SUM('1. melléklet - Önkormányzat'!M64)</f>
        <v>100</v>
      </c>
      <c r="M15" s="28">
        <f>SUM('1. melléklet - Önkormányzat'!N64)</f>
        <v>0</v>
      </c>
      <c r="N15" s="28">
        <f>SUM('1. melléklet - Önkormányzat'!O64)</f>
        <v>100</v>
      </c>
      <c r="O15" s="28">
        <f>SUM('1. melléklet - Önkormányzat'!P64)</f>
        <v>0</v>
      </c>
      <c r="P15" s="28">
        <f>SUM('1. melléklet - Önkormányzat'!Q64)</f>
        <v>100</v>
      </c>
      <c r="Q15" s="28">
        <f>SUM('1. melléklet - Önkormányzat'!R64)</f>
        <v>0</v>
      </c>
      <c r="R15" s="28">
        <f>SUM('1. melléklet - Önkormányzat'!S64)</f>
        <v>100</v>
      </c>
      <c r="S15" s="28">
        <f>SUM('1. melléklet - Önkormányzat'!T64)</f>
        <v>0</v>
      </c>
      <c r="T15" s="28">
        <f>SUM('1. melléklet - Önkormányzat'!U64)</f>
        <v>100</v>
      </c>
      <c r="V15" s="12"/>
    </row>
    <row r="16" spans="1:22">
      <c r="A16" s="70" t="s">
        <v>1543</v>
      </c>
      <c r="B16" s="51" t="s">
        <v>1283</v>
      </c>
      <c r="C16" s="29"/>
      <c r="D16" s="29"/>
      <c r="E16" s="29"/>
      <c r="F16" s="29"/>
      <c r="G16" s="29"/>
      <c r="H16" s="29"/>
      <c r="I16" s="29"/>
      <c r="J16" s="29"/>
      <c r="K16" s="29"/>
      <c r="L16" s="28">
        <f>SUM('1. melléklet - Önkormányzat'!M65)</f>
        <v>2500</v>
      </c>
      <c r="M16" s="28">
        <f>SUM('1. melléklet - Önkormányzat'!N65)</f>
        <v>0</v>
      </c>
      <c r="N16" s="28">
        <f>SUM('1. melléklet - Önkormányzat'!O65)</f>
        <v>2500</v>
      </c>
      <c r="O16" s="28">
        <f>SUM('1. melléklet - Önkormányzat'!P65)</f>
        <v>0</v>
      </c>
      <c r="P16" s="28">
        <f>SUM('1. melléklet - Önkormányzat'!Q65)</f>
        <v>2500</v>
      </c>
      <c r="Q16" s="28">
        <f>SUM('1. melléklet - Önkormányzat'!R65)</f>
        <v>0</v>
      </c>
      <c r="R16" s="28">
        <f>SUM('1. melléklet - Önkormányzat'!S65)</f>
        <v>2500</v>
      </c>
      <c r="S16" s="28">
        <f>SUM('1. melléklet - Önkormányzat'!T65)</f>
        <v>2587</v>
      </c>
      <c r="T16" s="28">
        <f>SUM('1. melléklet - Önkormányzat'!U65)</f>
        <v>5087</v>
      </c>
      <c r="V16" s="12"/>
    </row>
    <row r="17" spans="1:22">
      <c r="A17" s="70" t="s">
        <v>1543</v>
      </c>
      <c r="B17" s="51" t="s">
        <v>1284</v>
      </c>
      <c r="C17" s="29"/>
      <c r="D17" s="29"/>
      <c r="E17" s="29"/>
      <c r="F17" s="29"/>
      <c r="G17" s="29"/>
      <c r="H17" s="29"/>
      <c r="I17" s="29"/>
      <c r="J17" s="29"/>
      <c r="K17" s="29"/>
      <c r="L17" s="28">
        <f>SUM('1. melléklet - Önkormányzat'!M66)</f>
        <v>200</v>
      </c>
      <c r="M17" s="28">
        <f>SUM('1. melléklet - Önkormányzat'!N66)</f>
        <v>0</v>
      </c>
      <c r="N17" s="28">
        <f>SUM('1. melléklet - Önkormányzat'!O66)</f>
        <v>200</v>
      </c>
      <c r="O17" s="28">
        <f>SUM('1. melléklet - Önkormányzat'!P66)</f>
        <v>0</v>
      </c>
      <c r="P17" s="28">
        <f>SUM('1. melléklet - Önkormányzat'!Q66)</f>
        <v>200</v>
      </c>
      <c r="Q17" s="28">
        <f>SUM('1. melléklet - Önkormányzat'!R66)</f>
        <v>0</v>
      </c>
      <c r="R17" s="28">
        <f>SUM('1. melléklet - Önkormányzat'!S66)</f>
        <v>200</v>
      </c>
      <c r="S17" s="28">
        <f>SUM('1. melléklet - Önkormányzat'!T66)</f>
        <v>1625</v>
      </c>
      <c r="T17" s="28">
        <f>SUM('1. melléklet - Önkormányzat'!U66)</f>
        <v>1825</v>
      </c>
      <c r="V17" s="12"/>
    </row>
    <row r="18" spans="1:22">
      <c r="A18" s="70" t="s">
        <v>1544</v>
      </c>
      <c r="B18" s="51" t="s">
        <v>1285</v>
      </c>
      <c r="C18" s="29"/>
      <c r="D18" s="29"/>
      <c r="E18" s="29"/>
      <c r="F18" s="29"/>
      <c r="G18" s="29"/>
      <c r="H18" s="29"/>
      <c r="I18" s="29"/>
      <c r="J18" s="29"/>
      <c r="K18" s="29"/>
      <c r="L18" s="28">
        <f>SUM('1. melléklet - Önkormányzat'!M67)</f>
        <v>25000</v>
      </c>
      <c r="M18" s="28">
        <f>SUM('1. melléklet - Önkormányzat'!N67)</f>
        <v>0</v>
      </c>
      <c r="N18" s="28">
        <f>SUM('1. melléklet - Önkormányzat'!O67)</f>
        <v>25000</v>
      </c>
      <c r="O18" s="28">
        <f>SUM('1. melléklet - Önkormányzat'!P67)</f>
        <v>0</v>
      </c>
      <c r="P18" s="28">
        <f>SUM('1. melléklet - Önkormányzat'!Q67)</f>
        <v>25000</v>
      </c>
      <c r="Q18" s="28">
        <f>SUM('1. melléklet - Önkormányzat'!R67)</f>
        <v>0</v>
      </c>
      <c r="R18" s="28">
        <f>SUM('1. melléklet - Önkormányzat'!S67)</f>
        <v>25000</v>
      </c>
      <c r="S18" s="28">
        <f>SUM('1. melléklet - Önkormányzat'!T67)</f>
        <v>0</v>
      </c>
      <c r="T18" s="28">
        <f>SUM('1. melléklet - Önkormányzat'!U67)</f>
        <v>25000</v>
      </c>
      <c r="V18" s="12"/>
    </row>
    <row r="19" spans="1:22">
      <c r="A19" s="70" t="s">
        <v>1545</v>
      </c>
      <c r="B19" s="51" t="s">
        <v>1316</v>
      </c>
      <c r="C19" s="29"/>
      <c r="D19" s="29"/>
      <c r="E19" s="29"/>
      <c r="F19" s="29"/>
      <c r="G19" s="29"/>
      <c r="H19" s="29"/>
      <c r="I19" s="29"/>
      <c r="J19" s="29"/>
      <c r="K19" s="29"/>
      <c r="L19" s="28">
        <f>SUM('1. melléklet - Önkormányzat'!M68)</f>
        <v>3300</v>
      </c>
      <c r="M19" s="28">
        <f>SUM('1. melléklet - Önkormányzat'!N68)</f>
        <v>0</v>
      </c>
      <c r="N19" s="28">
        <f>SUM('1. melléklet - Önkormányzat'!O68)</f>
        <v>3300</v>
      </c>
      <c r="O19" s="28">
        <f>SUM('1. melléklet - Önkormányzat'!P68)</f>
        <v>0</v>
      </c>
      <c r="P19" s="28">
        <f>SUM('1. melléklet - Önkormányzat'!Q68)</f>
        <v>3300</v>
      </c>
      <c r="Q19" s="28">
        <f>SUM('1. melléklet - Önkormányzat'!R68)</f>
        <v>0</v>
      </c>
      <c r="R19" s="28">
        <f>SUM('1. melléklet - Önkormányzat'!S68)</f>
        <v>3300</v>
      </c>
      <c r="S19" s="28">
        <f>SUM('1. melléklet - Önkormányzat'!T68)</f>
        <v>392</v>
      </c>
      <c r="T19" s="28">
        <f>SUM('1. melléklet - Önkormányzat'!U68)</f>
        <v>3692</v>
      </c>
      <c r="V19" s="12"/>
    </row>
    <row r="20" spans="1:22">
      <c r="A20" s="70" t="s">
        <v>1547</v>
      </c>
      <c r="B20" s="51" t="s">
        <v>1286</v>
      </c>
      <c r="C20" s="29"/>
      <c r="D20" s="29"/>
      <c r="E20" s="29"/>
      <c r="F20" s="29"/>
      <c r="G20" s="29"/>
      <c r="H20" s="29"/>
      <c r="I20" s="29"/>
      <c r="J20" s="29"/>
      <c r="K20" s="29"/>
      <c r="L20" s="28">
        <f>SUM('1. melléklet - Önkormányzat'!M69)</f>
        <v>400</v>
      </c>
      <c r="M20" s="28">
        <f>SUM('1. melléklet - Önkormányzat'!N69)</f>
        <v>0</v>
      </c>
      <c r="N20" s="28">
        <f>SUM('1. melléklet - Önkormányzat'!O69)</f>
        <v>400</v>
      </c>
      <c r="O20" s="28">
        <f>SUM('1. melléklet - Önkormányzat'!P69)</f>
        <v>0</v>
      </c>
      <c r="P20" s="28">
        <f>SUM('1. melléklet - Önkormányzat'!Q69)</f>
        <v>400</v>
      </c>
      <c r="Q20" s="28">
        <f>SUM('1. melléklet - Önkormányzat'!R69)</f>
        <v>0</v>
      </c>
      <c r="R20" s="28">
        <f>SUM('1. melléklet - Önkormányzat'!S69)</f>
        <v>400</v>
      </c>
      <c r="S20" s="28">
        <f>SUM('1. melléklet - Önkormányzat'!T69)</f>
        <v>0</v>
      </c>
      <c r="T20" s="28">
        <f>SUM('1. melléklet - Önkormányzat'!U69)</f>
        <v>400</v>
      </c>
      <c r="V20" s="12"/>
    </row>
    <row r="21" spans="1:22">
      <c r="A21" s="23" t="s">
        <v>1546</v>
      </c>
      <c r="B21" s="51" t="s">
        <v>1692</v>
      </c>
      <c r="C21" s="58"/>
      <c r="D21" s="29"/>
      <c r="E21" s="29"/>
      <c r="F21" s="29"/>
      <c r="G21" s="29"/>
      <c r="H21" s="29"/>
      <c r="I21" s="29"/>
      <c r="J21" s="29"/>
      <c r="K21" s="29"/>
      <c r="L21" s="28"/>
      <c r="M21" s="28"/>
      <c r="N21" s="28"/>
      <c r="O21" s="28"/>
      <c r="P21" s="28"/>
      <c r="Q21" s="28"/>
      <c r="R21" s="28"/>
      <c r="S21" s="28">
        <f>SUM('1. melléklet - Önkormányzat'!T70)</f>
        <v>5</v>
      </c>
      <c r="T21" s="28">
        <f>SUM('1. melléklet - Önkormányzat'!U70)</f>
        <v>5</v>
      </c>
      <c r="V21" s="12"/>
    </row>
    <row r="22" spans="1:22">
      <c r="A22" s="23" t="s">
        <v>1546</v>
      </c>
      <c r="B22" s="51" t="s">
        <v>1693</v>
      </c>
      <c r="C22" s="58"/>
      <c r="D22" s="29"/>
      <c r="E22" s="29"/>
      <c r="F22" s="29"/>
      <c r="G22" s="29"/>
      <c r="H22" s="29"/>
      <c r="I22" s="29"/>
      <c r="J22" s="29"/>
      <c r="K22" s="29"/>
      <c r="L22" s="28"/>
      <c r="M22" s="28"/>
      <c r="N22" s="28"/>
      <c r="O22" s="28"/>
      <c r="P22" s="28"/>
      <c r="Q22" s="28"/>
      <c r="R22" s="28"/>
      <c r="S22" s="28">
        <f>SUM('1. melléklet - Önkormányzat'!T71)</f>
        <v>1020</v>
      </c>
      <c r="T22" s="28">
        <f>SUM('1. melléklet - Önkormányzat'!U71)</f>
        <v>1020</v>
      </c>
      <c r="V22" s="12"/>
    </row>
    <row r="23" spans="1:22">
      <c r="A23" s="70" t="s">
        <v>1546</v>
      </c>
      <c r="B23" s="58" t="s">
        <v>1644</v>
      </c>
      <c r="C23" s="29"/>
      <c r="D23" s="29"/>
      <c r="E23" s="29"/>
      <c r="F23" s="29"/>
      <c r="G23" s="29"/>
      <c r="H23" s="29"/>
      <c r="I23" s="29"/>
      <c r="J23" s="29"/>
      <c r="K23" s="29"/>
      <c r="L23" s="28">
        <f>SUM('1. melléklet - Önkormányzat'!M72)</f>
        <v>4500</v>
      </c>
      <c r="M23" s="28">
        <f>SUM('1. melléklet - Önkormányzat'!N72)</f>
        <v>0</v>
      </c>
      <c r="N23" s="28">
        <f>SUM('1. melléklet - Önkormányzat'!O72)</f>
        <v>4500</v>
      </c>
      <c r="O23" s="28">
        <f>SUM('1. melléklet - Önkormányzat'!P72)</f>
        <v>0</v>
      </c>
      <c r="P23" s="28">
        <f>SUM('1. melléklet - Önkormányzat'!Q72)</f>
        <v>4500</v>
      </c>
      <c r="Q23" s="28">
        <f>SUM('1. melléklet - Önkormányzat'!R72)</f>
        <v>0</v>
      </c>
      <c r="R23" s="28">
        <f>SUM('1. melléklet - Önkormányzat'!S72)</f>
        <v>4500</v>
      </c>
      <c r="S23" s="28">
        <f>SUM('1. melléklet - Önkormányzat'!T72)</f>
        <v>0</v>
      </c>
      <c r="T23" s="28">
        <f>SUM('1. melléklet - Önkormányzat'!U72)</f>
        <v>4500</v>
      </c>
      <c r="V23" s="12"/>
    </row>
    <row r="24" spans="1:22">
      <c r="A24" s="71" t="s">
        <v>1714</v>
      </c>
      <c r="B24" s="53" t="s">
        <v>1430</v>
      </c>
      <c r="C24" s="29"/>
      <c r="D24" s="29"/>
      <c r="E24" s="29"/>
      <c r="F24" s="29"/>
      <c r="G24" s="29"/>
      <c r="H24" s="29"/>
      <c r="I24" s="29"/>
      <c r="J24" s="29"/>
      <c r="K24" s="29"/>
      <c r="L24" s="28">
        <f>SUM('1. melléklet - Önkormányzat'!M136)+'1. melléklet - Önkormányzat'!M140</f>
        <v>48581</v>
      </c>
      <c r="M24" s="28">
        <f>SUM('1. melléklet - Önkormányzat'!N136)+'1. melléklet - Önkormányzat'!N140</f>
        <v>111292</v>
      </c>
      <c r="N24" s="28">
        <f>SUM('1. melléklet - Önkormányzat'!O136)+'1. melléklet - Önkormányzat'!O140</f>
        <v>159873</v>
      </c>
      <c r="O24" s="28">
        <f>SUM('1. melléklet - Önkormányzat'!P136)+'1. melléklet - Önkormányzat'!P140-'1. melléklet - Önkormányzat'!P135</f>
        <v>-79958</v>
      </c>
      <c r="P24" s="28">
        <f>SUM('1. melléklet - Önkormányzat'!Q136)+'1. melléklet - Önkormányzat'!Q140-'1. melléklet - Önkormányzat'!Q135</f>
        <v>79915</v>
      </c>
      <c r="Q24" s="28">
        <f>SUM('1. melléklet - Önkormányzat'!R136)+'1. melléklet - Önkormányzat'!R140-'1. melléklet - Önkormányzat'!R135</f>
        <v>1976</v>
      </c>
      <c r="R24" s="28">
        <f>SUM('1. melléklet - Önkormányzat'!S136)+'1. melléklet - Önkormányzat'!S140-'1. melléklet - Önkormányzat'!S135</f>
        <v>81891</v>
      </c>
      <c r="S24" s="28">
        <f>SUM('1. melléklet - Önkormányzat'!T136)+'1. melléklet - Önkormányzat'!T140-'1. melléklet - Önkormányzat'!T135</f>
        <v>-2377</v>
      </c>
      <c r="T24" s="28">
        <f>SUM('1. melléklet - Önkormányzat'!U136)+'1. melléklet - Önkormányzat'!U140-'1. melléklet - Önkormányzat'!U135</f>
        <v>79514</v>
      </c>
      <c r="V24" s="12"/>
    </row>
    <row r="25" spans="1:22">
      <c r="A25" s="71" t="s">
        <v>1441</v>
      </c>
      <c r="B25" s="2" t="s">
        <v>1292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V25" s="12"/>
    </row>
    <row r="26" spans="1:22">
      <c r="A26" s="70" t="s">
        <v>1433</v>
      </c>
      <c r="B26" s="51" t="s">
        <v>1293</v>
      </c>
      <c r="C26" s="28">
        <f>SUM('1. melléklet - Önkormányzat'!D46+'1. melléklet - Önkormányzat'!D92+'1. melléklet - Önkormányzat'!D202+'1. melléklet - Önkormányzat'!D277+'1. melléklet - Önkormányzat'!D293+'1. melléklet - Önkormányzat'!D318+'1. melléklet - Önkormányzat'!D335+'1. melléklet - Önkormányzat'!D350)</f>
        <v>40974</v>
      </c>
      <c r="D26" s="28">
        <f>SUM('1. melléklet - Önkormányzat'!E46+'1. melléklet - Önkormányzat'!E92+'1. melléklet - Önkormányzat'!E202+'1. melléklet - Önkormányzat'!E277+'1. melléklet - Önkormányzat'!E293+'1. melléklet - Önkormányzat'!E318+'1. melléklet - Önkormányzat'!E335+'1. melléklet - Önkormányzat'!E350)</f>
        <v>2153</v>
      </c>
      <c r="E26" s="28">
        <f>SUM('1. melléklet - Önkormányzat'!F46+'1. melléklet - Önkormányzat'!F92+'1. melléklet - Önkormányzat'!F202+'1. melléklet - Önkormányzat'!F277+'1. melléklet - Önkormányzat'!F293+'1. melléklet - Önkormányzat'!F318+'1. melléklet - Önkormányzat'!F335+'1. melléklet - Önkormányzat'!F350)</f>
        <v>43127</v>
      </c>
      <c r="F26" s="28">
        <f>SUM('1. melléklet - Önkormányzat'!G46+'1. melléklet - Önkormányzat'!G92+'1. melléklet - Önkormányzat'!G202+'1. melléklet - Önkormányzat'!G277+'1. melléklet - Önkormányzat'!G293+'1. melléklet - Önkormányzat'!G318+'1. melléklet - Önkormányzat'!G335+'1. melléklet - Önkormányzat'!G350)</f>
        <v>0</v>
      </c>
      <c r="G26" s="28">
        <f>SUM('1. melléklet - Önkormányzat'!H46+'1. melléklet - Önkormányzat'!H92+'1. melléklet - Önkormányzat'!H202+'1. melléklet - Önkormányzat'!H277+'1. melléklet - Önkormányzat'!H293+'1. melléklet - Önkormányzat'!H318+'1. melléklet - Önkormányzat'!H335+'1. melléklet - Önkormányzat'!H350)</f>
        <v>43127</v>
      </c>
      <c r="H26" s="28">
        <f>SUM('1. melléklet - Önkormányzat'!I46+'1. melléklet - Önkormányzat'!I92+'1. melléklet - Önkormányzat'!I202+'1. melléklet - Önkormányzat'!I277+'1. melléklet - Önkormányzat'!I293+'1. melléklet - Önkormányzat'!I318+'1. melléklet - Önkormányzat'!I335+'1. melléklet - Önkormányzat'!I350)</f>
        <v>2238</v>
      </c>
      <c r="I26" s="28">
        <f>SUM('1. melléklet - Önkormányzat'!J46+'1. melléklet - Önkormányzat'!J92+'1. melléklet - Önkormányzat'!J202+'1. melléklet - Önkormányzat'!J277+'1. melléklet - Önkormányzat'!J293+'1. melléklet - Önkormányzat'!J318+'1. melléklet - Önkormányzat'!J335+'1. melléklet - Önkormányzat'!J350)</f>
        <v>45365</v>
      </c>
      <c r="J26" s="28">
        <f>SUM('1. melléklet - Önkormányzat'!K46+'1. melléklet - Önkormányzat'!K92+'1. melléklet - Önkormányzat'!K202+'1. melléklet - Önkormányzat'!K277+'1. melléklet - Önkormányzat'!K293+'1. melléklet - Önkormányzat'!K318+'1. melléklet - Önkormányzat'!K335+'1. melléklet - Önkormányzat'!K350)</f>
        <v>0</v>
      </c>
      <c r="K26" s="28">
        <f>SUM('1. melléklet - Önkormányzat'!L46+'1. melléklet - Önkormányzat'!L92+'1. melléklet - Önkormányzat'!L202+'1. melléklet - Önkormányzat'!L277+'1. melléklet - Önkormányzat'!L293+'1. melléklet - Önkormányzat'!L318+'1. melléklet - Önkormányzat'!L335+'1. melléklet - Önkormányzat'!L350)</f>
        <v>45365</v>
      </c>
      <c r="L26" s="29"/>
      <c r="M26" s="29"/>
      <c r="N26" s="29"/>
      <c r="O26" s="29"/>
      <c r="P26" s="29"/>
      <c r="Q26" s="29"/>
      <c r="R26" s="29"/>
      <c r="S26" s="29"/>
      <c r="T26" s="29"/>
      <c r="V26" s="12"/>
    </row>
    <row r="27" spans="1:22">
      <c r="A27" s="70" t="s">
        <v>1434</v>
      </c>
      <c r="B27" s="58" t="s">
        <v>1435</v>
      </c>
      <c r="C27" s="28">
        <f>SUM('1. melléklet - Önkormányzat'!D47+'1. melléklet - Önkormányzat'!D93+'1. melléklet - Önkormányzat'!D203+'1. melléklet - Önkormányzat'!D278+'1. melléklet - Önkormányzat'!D294+'1. melléklet - Önkormányzat'!D319+'1. melléklet - Önkormányzat'!D336+'1. melléklet - Önkormányzat'!D351)</f>
        <v>8141</v>
      </c>
      <c r="D27" s="28">
        <f>SUM('1. melléklet - Önkormányzat'!E47+'1. melléklet - Önkormányzat'!E93+'1. melléklet - Önkormányzat'!E203+'1. melléklet - Önkormányzat'!E278+'1. melléklet - Önkormányzat'!E294+'1. melléklet - Önkormányzat'!E319+'1. melléklet - Önkormányzat'!E336+'1. melléklet - Önkormányzat'!E351)</f>
        <v>291</v>
      </c>
      <c r="E27" s="28">
        <f>SUM('1. melléklet - Önkormányzat'!F47+'1. melléklet - Önkormányzat'!F93+'1. melléklet - Önkormányzat'!F203+'1. melléklet - Önkormányzat'!F278+'1. melléklet - Önkormányzat'!F294+'1. melléklet - Önkormányzat'!F319+'1. melléklet - Önkormányzat'!F336+'1. melléklet - Önkormányzat'!F351)</f>
        <v>8432</v>
      </c>
      <c r="F27" s="28">
        <f>SUM('1. melléklet - Önkormányzat'!G47+'1. melléklet - Önkormányzat'!G93+'1. melléklet - Önkormányzat'!G203+'1. melléklet - Önkormányzat'!G278+'1. melléklet - Önkormányzat'!G294+'1. melléklet - Önkormányzat'!G319+'1. melléklet - Önkormányzat'!G336+'1. melléklet - Önkormányzat'!G351)</f>
        <v>0</v>
      </c>
      <c r="G27" s="28">
        <f>SUM('1. melléklet - Önkormányzat'!H47+'1. melléklet - Önkormányzat'!H93+'1. melléklet - Önkormányzat'!H203+'1. melléklet - Önkormányzat'!H278+'1. melléklet - Önkormányzat'!H294+'1. melléklet - Önkormányzat'!H319+'1. melléklet - Önkormányzat'!H336+'1. melléklet - Önkormányzat'!H351)</f>
        <v>8432</v>
      </c>
      <c r="H27" s="28">
        <f>SUM('1. melléklet - Önkormányzat'!I47+'1. melléklet - Önkormányzat'!I93+'1. melléklet - Önkormányzat'!I203+'1. melléklet - Önkormányzat'!I278+'1. melléklet - Önkormányzat'!I294+'1. melléklet - Önkormányzat'!I319+'1. melléklet - Önkormányzat'!I336+'1. melléklet - Önkormányzat'!I351)</f>
        <v>279</v>
      </c>
      <c r="I27" s="28">
        <f>SUM('1. melléklet - Önkormányzat'!J47+'1. melléklet - Önkormányzat'!J93+'1. melléklet - Önkormányzat'!J203+'1. melléklet - Önkormányzat'!J278+'1. melléklet - Önkormányzat'!J294+'1. melléklet - Önkormányzat'!J319+'1. melléklet - Önkormányzat'!J336+'1. melléklet - Önkormányzat'!J351)</f>
        <v>8711</v>
      </c>
      <c r="J27" s="28">
        <f>SUM('1. melléklet - Önkormányzat'!K47+'1. melléklet - Önkormányzat'!K93+'1. melléklet - Önkormányzat'!K203+'1. melléklet - Önkormányzat'!K278+'1. melléklet - Önkormányzat'!K294+'1. melléklet - Önkormányzat'!K319+'1. melléklet - Önkormányzat'!K336+'1. melléklet - Önkormányzat'!K351)</f>
        <v>0</v>
      </c>
      <c r="K27" s="28">
        <f>SUM('1. melléklet - Önkormányzat'!L47+'1. melléklet - Önkormányzat'!L93+'1. melléklet - Önkormányzat'!L203+'1. melléklet - Önkormányzat'!L278+'1. melléklet - Önkormányzat'!L294+'1. melléklet - Önkormányzat'!L319+'1. melléklet - Önkormányzat'!L336+'1. melléklet - Önkormányzat'!L351)</f>
        <v>8711</v>
      </c>
      <c r="L27" s="29"/>
      <c r="M27" s="29"/>
      <c r="N27" s="29"/>
      <c r="O27" s="29"/>
      <c r="P27" s="29"/>
      <c r="Q27" s="29"/>
      <c r="R27" s="29"/>
      <c r="S27" s="29"/>
      <c r="T27" s="29"/>
      <c r="V27" s="12"/>
    </row>
    <row r="28" spans="1:22">
      <c r="A28" s="70" t="s">
        <v>1454</v>
      </c>
      <c r="B28" s="51" t="s">
        <v>1294</v>
      </c>
      <c r="C28" s="28">
        <f>SUM('1. melléklet - Önkormányzat'!D11+'1. melléklet - Önkormányzat'!D18+'1. melléklet - Önkormányzat'!D37+'1. melléklet - Önkormányzat'!D48+'1. melléklet - Önkormányzat'!D74+'1. melléklet - Önkormányzat'!D80+'1. melléklet - Önkormányzat'!D94+'1. melléklet - Önkormányzat'!D178+'1. melléklet - Önkormányzat'!D188+'1. melléklet - Önkormányzat'!D204+'1. melléklet - Önkormányzat'!D279+'1. melléklet - Önkormányzat'!D295+'1. melléklet - Önkormányzat'!D311+'1. melléklet - Önkormányzat'!D320+'1. melléklet - Önkormányzat'!D337+'1. melléklet - Önkormányzat'!D352+'1. melléklet - Önkormányzat'!D367)</f>
        <v>11351</v>
      </c>
      <c r="D28" s="28">
        <f>SUM('1. melléklet - Önkormányzat'!E11+'1. melléklet - Önkormányzat'!E18+'1. melléklet - Önkormányzat'!E37+'1. melléklet - Önkormányzat'!E48+'1. melléklet - Önkormányzat'!E74+'1. melléklet - Önkormányzat'!E80+'1. melléklet - Önkormányzat'!E94+'1. melléklet - Önkormányzat'!E178+'1. melléklet - Önkormányzat'!E188+'1. melléklet - Önkormányzat'!E204+'1. melléklet - Önkormányzat'!E279+'1. melléklet - Önkormányzat'!E295+'1. melléklet - Önkormányzat'!E311+'1. melléklet - Önkormányzat'!E320+'1. melléklet - Önkormányzat'!E337+'1. melléklet - Önkormányzat'!E352+'1. melléklet - Önkormányzat'!E367)</f>
        <v>-1360</v>
      </c>
      <c r="E28" s="28">
        <f>SUM('1. melléklet - Önkormányzat'!F11+'1. melléklet - Önkormányzat'!F18+'1. melléklet - Önkormányzat'!F37+'1. melléklet - Önkormányzat'!F48+'1. melléklet - Önkormányzat'!F74+'1. melléklet - Önkormányzat'!F80+'1. melléklet - Önkormányzat'!F94+'1. melléklet - Önkormányzat'!F178+'1. melléklet - Önkormányzat'!F188+'1. melléklet - Önkormányzat'!F204+'1. melléklet - Önkormányzat'!F279+'1. melléklet - Önkormányzat'!F295+'1. melléklet - Önkormányzat'!F311+'1. melléklet - Önkormányzat'!F320+'1. melléklet - Önkormányzat'!F337+'1. melléklet - Önkormányzat'!F352+'1. melléklet - Önkormányzat'!F367)</f>
        <v>9991</v>
      </c>
      <c r="F28" s="28">
        <f>SUM('1. melléklet - Önkormányzat'!G11+'1. melléklet - Önkormányzat'!G18+'1. melléklet - Önkormányzat'!G37+'1. melléklet - Önkormányzat'!G48+'1. melléklet - Önkormányzat'!G74+'1. melléklet - Önkormányzat'!G80+'1. melléklet - Önkormányzat'!G94+'1. melléklet - Önkormányzat'!G178+'1. melléklet - Önkormányzat'!G188+'1. melléklet - Önkormányzat'!G204+'1. melléklet - Önkormányzat'!G279+'1. melléklet - Önkormányzat'!G295+'1. melléklet - Önkormányzat'!G311+'1. melléklet - Önkormányzat'!G320+'1. melléklet - Önkormányzat'!G337+'1. melléklet - Önkormányzat'!G352+'1. melléklet - Önkormányzat'!G367)</f>
        <v>10820</v>
      </c>
      <c r="G28" s="28">
        <f>SUM('1. melléklet - Önkormányzat'!H11+'1. melléklet - Önkormányzat'!H18+'1. melléklet - Önkormányzat'!H37+'1. melléklet - Önkormányzat'!H48+'1. melléklet - Önkormányzat'!H74+'1. melléklet - Önkormányzat'!H80+'1. melléklet - Önkormányzat'!H94+'1. melléklet - Önkormányzat'!H178+'1. melléklet - Önkormányzat'!H188+'1. melléklet - Önkormányzat'!H204+'1. melléklet - Önkormányzat'!H279+'1. melléklet - Önkormányzat'!H295+'1. melléklet - Önkormányzat'!H311+'1. melléklet - Önkormányzat'!H320+'1. melléklet - Önkormányzat'!H337+'1. melléklet - Önkormányzat'!H352+'1. melléklet - Önkormányzat'!H367)</f>
        <v>20811</v>
      </c>
      <c r="H28" s="28">
        <f>SUM('1. melléklet - Önkormányzat'!I11+'1. melléklet - Önkormányzat'!I18+'1. melléklet - Önkormányzat'!I37+'1. melléklet - Önkormányzat'!I48+'1. melléklet - Önkormányzat'!I74+'1. melléklet - Önkormányzat'!I80+'1. melléklet - Önkormányzat'!I94+'1. melléklet - Önkormányzat'!I178+'1. melléklet - Önkormányzat'!I188+'1. melléklet - Önkormányzat'!I204+'1. melléklet - Önkormányzat'!I279+'1. melléklet - Önkormányzat'!I295+'1. melléklet - Önkormányzat'!I311+'1. melléklet - Önkormányzat'!I320+'1. melléklet - Önkormányzat'!I337+'1. melléklet - Önkormányzat'!I352+'1. melléklet - Önkormányzat'!I367)</f>
        <v>18412</v>
      </c>
      <c r="I28" s="28">
        <f>SUM('1. melléklet - Önkormányzat'!J11+'1. melléklet - Önkormányzat'!J18+'1. melléklet - Önkormányzat'!J37+'1. melléklet - Önkormányzat'!J48+'1. melléklet - Önkormányzat'!J74+'1. melléklet - Önkormányzat'!J80+'1. melléklet - Önkormányzat'!J94+'1. melléklet - Önkormányzat'!J178+'1. melléklet - Önkormányzat'!J188+'1. melléklet - Önkormányzat'!J204+'1. melléklet - Önkormányzat'!J279+'1. melléklet - Önkormányzat'!J295+'1. melléklet - Önkormányzat'!J311+'1. melléklet - Önkormányzat'!J320+'1. melléklet - Önkormányzat'!J337+'1. melléklet - Önkormányzat'!J352+'1. melléklet - Önkormányzat'!J367)</f>
        <v>39223</v>
      </c>
      <c r="J28" s="28">
        <f>SUM('1. melléklet - Önkormányzat'!K11+'1. melléklet - Önkormányzat'!K18+'1. melléklet - Önkormányzat'!K37+'1. melléklet - Önkormányzat'!K48+'1. melléklet - Önkormányzat'!K74+'1. melléklet - Önkormányzat'!K80+'1. melléklet - Önkormányzat'!K94+'1. melléklet - Önkormányzat'!K178+'1. melléklet - Önkormányzat'!K188+'1. melléklet - Önkormányzat'!K204+'1. melléklet - Önkormányzat'!K279+'1. melléklet - Önkormányzat'!K295+'1. melléklet - Önkormányzat'!K311+'1. melléklet - Önkormányzat'!K320+'1. melléklet - Önkormányzat'!K337+'1. melléklet - Önkormányzat'!K352+'1. melléklet - Önkormányzat'!K367)</f>
        <v>-4081</v>
      </c>
      <c r="K28" s="28">
        <f>SUM('1. melléklet - Önkormányzat'!L11+'1. melléklet - Önkormányzat'!L18+'1. melléklet - Önkormányzat'!L37+'1. melléklet - Önkormányzat'!L48+'1. melléklet - Önkormányzat'!L74+'1. melléklet - Önkormányzat'!L80+'1. melléklet - Önkormányzat'!L94+'1. melléklet - Önkormányzat'!L178+'1. melléklet - Önkormányzat'!L188+'1. melléklet - Önkormányzat'!L204+'1. melléklet - Önkormányzat'!L279+'1. melléklet - Önkormányzat'!L295+'1. melléklet - Önkormányzat'!L311+'1. melléklet - Önkormányzat'!L320+'1. melléklet - Önkormányzat'!L337+'1. melléklet - Önkormányzat'!L352+'1. melléklet - Önkormányzat'!L367)</f>
        <v>35142</v>
      </c>
      <c r="L28" s="29"/>
      <c r="M28" s="29"/>
      <c r="N28" s="29"/>
      <c r="O28" s="29"/>
      <c r="P28" s="29"/>
      <c r="Q28" s="29"/>
      <c r="R28" s="29"/>
      <c r="S28" s="29"/>
      <c r="T28" s="29"/>
      <c r="V28" s="12"/>
    </row>
    <row r="29" spans="1:22">
      <c r="A29" s="70" t="s">
        <v>1436</v>
      </c>
      <c r="B29" s="58" t="s">
        <v>1437</v>
      </c>
      <c r="C29" s="28">
        <f>SUM('1. melléklet - Önkormányzat'!D12+'1. melléklet - Önkormányzat'!D19+'1. melléklet - Önkormányzat'!D38+'1. melléklet - Önkormányzat'!D49+'1. melléklet - Önkormányzat'!D81+'1. melléklet - Önkormányzat'!D95+'1. melléklet - Önkormányzat'!D179+'1. melléklet - Önkormányzat'!D189+'1. melléklet - Önkormányzat'!D205+'1. melléklet - Önkormányzat'!D312+'1. melléklet - Önkormányzat'!D368)</f>
        <v>4108</v>
      </c>
      <c r="D29" s="28">
        <f>SUM('1. melléklet - Önkormányzat'!E12+'1. melléklet - Önkormányzat'!E19+'1. melléklet - Önkormányzat'!E38+'1. melléklet - Önkormányzat'!E49+'1. melléklet - Önkormányzat'!E81+'1. melléklet - Önkormányzat'!E95+'1. melléklet - Önkormányzat'!E179+'1. melléklet - Önkormányzat'!E189+'1. melléklet - Önkormányzat'!E205+'1. melléklet - Önkormányzat'!E312+'1. melléklet - Önkormányzat'!E368)</f>
        <v>16000</v>
      </c>
      <c r="E29" s="28">
        <f>SUM('1. melléklet - Önkormányzat'!F12+'1. melléklet - Önkormányzat'!F19+'1. melléklet - Önkormányzat'!F38+'1. melléklet - Önkormányzat'!F49+'1. melléklet - Önkormányzat'!F81+'1. melléklet - Önkormányzat'!F95+'1. melléklet - Önkormányzat'!F179+'1. melléklet - Önkormányzat'!F189+'1. melléklet - Önkormányzat'!F205+'1. melléklet - Önkormányzat'!F312+'1. melléklet - Önkormányzat'!F368)</f>
        <v>20108</v>
      </c>
      <c r="F29" s="28">
        <f>SUM('1. melléklet - Önkormányzat'!G12+'1. melléklet - Önkormányzat'!G19+'1. melléklet - Önkormányzat'!G38+'1. melléklet - Önkormányzat'!G49+'1. melléklet - Önkormányzat'!G81+'1. melléklet - Önkormányzat'!G95+'1. melléklet - Önkormányzat'!G179+'1. melléklet - Önkormányzat'!G189+'1. melléklet - Önkormányzat'!G205+'1. melléklet - Önkormányzat'!G312+'1. melléklet - Önkormányzat'!G368)</f>
        <v>2101</v>
      </c>
      <c r="G29" s="28">
        <f>SUM('1. melléklet - Önkormányzat'!H12+'1. melléklet - Önkormányzat'!H19+'1. melléklet - Önkormányzat'!H38+'1. melléklet - Önkormányzat'!H49+'1. melléklet - Önkormányzat'!H81+'1. melléklet - Önkormányzat'!H95+'1. melléklet - Önkormányzat'!H179+'1. melléklet - Önkormányzat'!H189+'1. melléklet - Önkormányzat'!H205+'1. melléklet - Önkormányzat'!H312+'1. melléklet - Önkormányzat'!H368)</f>
        <v>22209</v>
      </c>
      <c r="H29" s="28">
        <f>SUM('1. melléklet - Önkormányzat'!I12+'1. melléklet - Önkormányzat'!I19+'1. melléklet - Önkormányzat'!I38+'1. melléklet - Önkormányzat'!I49+'1. melléklet - Önkormányzat'!I81+'1. melléklet - Önkormányzat'!I95+'1. melléklet - Önkormányzat'!I179+'1. melléklet - Önkormányzat'!I189+'1. melléklet - Önkormányzat'!I205+'1. melléklet - Önkormányzat'!I312+'1. melléklet - Önkormányzat'!I368)</f>
        <v>0</v>
      </c>
      <c r="I29" s="28">
        <f>SUM('1. melléklet - Önkormányzat'!J12+'1. melléklet - Önkormányzat'!J19+'1. melléklet - Önkormányzat'!J38+'1. melléklet - Önkormányzat'!J49+'1. melléklet - Önkormányzat'!J81+'1. melléklet - Önkormányzat'!J95+'1. melléklet - Önkormányzat'!J179+'1. melléklet - Önkormányzat'!J189+'1. melléklet - Önkormányzat'!J205+'1. melléklet - Önkormányzat'!J312+'1. melléklet - Önkormányzat'!J368)</f>
        <v>22209</v>
      </c>
      <c r="J29" s="28">
        <f>SUM('1. melléklet - Önkormányzat'!K12+'1. melléklet - Önkormányzat'!K19+'1. melléklet - Önkormányzat'!K38+'1. melléklet - Önkormányzat'!K49+'1. melléklet - Önkormányzat'!K81+'1. melléklet - Önkormányzat'!K95+'1. melléklet - Önkormányzat'!K179+'1. melléklet - Önkormányzat'!K189+'1. melléklet - Önkormányzat'!K205+'1. melléklet - Önkormányzat'!K312+'1. melléklet - Önkormányzat'!K368)</f>
        <v>995</v>
      </c>
      <c r="K29" s="28">
        <f>SUM('1. melléklet - Önkormányzat'!L12+'1. melléklet - Önkormányzat'!L19+'1. melléklet - Önkormányzat'!L38+'1. melléklet - Önkormányzat'!L49+'1. melléklet - Önkormányzat'!L81+'1. melléklet - Önkormányzat'!L95+'1. melléklet - Önkormányzat'!L179+'1. melléklet - Önkormányzat'!L189+'1. melléklet - Önkormányzat'!L205+'1. melléklet - Önkormányzat'!L312+'1. melléklet - Önkormányzat'!L368)</f>
        <v>23204</v>
      </c>
      <c r="L29" s="29"/>
      <c r="M29" s="29"/>
      <c r="N29" s="29"/>
      <c r="O29" s="29"/>
      <c r="P29" s="29"/>
      <c r="Q29" s="29"/>
      <c r="R29" s="29"/>
      <c r="S29" s="29"/>
      <c r="T29" s="29"/>
      <c r="V29" s="12"/>
    </row>
    <row r="30" spans="1:22">
      <c r="A30" s="70" t="s">
        <v>1580</v>
      </c>
      <c r="B30" s="58" t="s">
        <v>1595</v>
      </c>
      <c r="C30" s="28">
        <f>SUM('1. melléklet - Önkormányzat'!D216+'1. melléklet - Önkormányzat'!D222+'1. melléklet - Önkormányzat'!D229+'1. melléklet - Önkormányzat'!D235+'1. melléklet - Önkormányzat'!D241+'1. melléklet - Önkormányzat'!D247+'1. melléklet - Önkormányzat'!D253)</f>
        <v>853</v>
      </c>
      <c r="D30" s="28">
        <f>SUM('1. melléklet - Önkormányzat'!E216+'1. melléklet - Önkormányzat'!E222+'1. melléklet - Önkormányzat'!E229+'1. melléklet - Önkormányzat'!E235+'1. melléklet - Önkormányzat'!E241+'1. melléklet - Önkormányzat'!E247+'1. melléklet - Önkormányzat'!E253)</f>
        <v>0</v>
      </c>
      <c r="E30" s="28">
        <f>SUM('1. melléklet - Önkormányzat'!F216+'1. melléklet - Önkormányzat'!F222+'1. melléklet - Önkormányzat'!F229+'1. melléklet - Önkormányzat'!F235+'1. melléklet - Önkormányzat'!F241+'1. melléklet - Önkormányzat'!F247+'1. melléklet - Önkormányzat'!F253)</f>
        <v>853</v>
      </c>
      <c r="F30" s="28">
        <f>SUM('1. melléklet - Önkormányzat'!G216+'1. melléklet - Önkormányzat'!G222+'1. melléklet - Önkormányzat'!G229+'1. melléklet - Önkormányzat'!G235+'1. melléklet - Önkormányzat'!G241+'1. melléklet - Önkormányzat'!G247+'1. melléklet - Önkormányzat'!G253)</f>
        <v>0</v>
      </c>
      <c r="G30" s="28">
        <f>SUM('1. melléklet - Önkormányzat'!H216+'1. melléklet - Önkormányzat'!H222+'1. melléklet - Önkormányzat'!H229+'1. melléklet - Önkormányzat'!H235+'1. melléklet - Önkormányzat'!H241+'1. melléklet - Önkormányzat'!H247+'1. melléklet - Önkormányzat'!H253)</f>
        <v>853</v>
      </c>
      <c r="H30" s="28">
        <f>SUM('1. melléklet - Önkormányzat'!I216+'1. melléklet - Önkormányzat'!I222+'1. melléklet - Önkormányzat'!I229+'1. melléklet - Önkormányzat'!I235+'1. melléklet - Önkormányzat'!I241+'1. melléklet - Önkormányzat'!I247+'1. melléklet - Önkormányzat'!I253)</f>
        <v>0</v>
      </c>
      <c r="I30" s="28">
        <f>SUM('1. melléklet - Önkormányzat'!J216+'1. melléklet - Önkormányzat'!J222+'1. melléklet - Önkormányzat'!J229+'1. melléklet - Önkormányzat'!J235+'1. melléklet - Önkormányzat'!J241+'1. melléklet - Önkormányzat'!J247+'1. melléklet - Önkormányzat'!J253)</f>
        <v>853</v>
      </c>
      <c r="J30" s="28">
        <f>SUM('1. melléklet - Önkormányzat'!K216+'1. melléklet - Önkormányzat'!K222+'1. melléklet - Önkormányzat'!K229+'1. melléklet - Önkormányzat'!K235+'1. melléklet - Önkormányzat'!K241+'1. melléklet - Önkormányzat'!K247+'1. melléklet - Önkormányzat'!K253)</f>
        <v>591</v>
      </c>
      <c r="K30" s="28">
        <f>SUM('1. melléklet - Önkormányzat'!L216+'1. melléklet - Önkormányzat'!L222+'1. melléklet - Önkormányzat'!L229+'1. melléklet - Önkormányzat'!L235+'1. melléklet - Önkormányzat'!L241+'1. melléklet - Önkormányzat'!L247+'1. melléklet - Önkormányzat'!L253)</f>
        <v>1444</v>
      </c>
      <c r="L30" s="29"/>
      <c r="M30" s="29"/>
      <c r="N30" s="29"/>
      <c r="O30" s="29"/>
      <c r="P30" s="29"/>
      <c r="Q30" s="29"/>
      <c r="R30" s="29"/>
      <c r="S30" s="29"/>
      <c r="T30" s="29"/>
      <c r="V30" s="12"/>
    </row>
    <row r="31" spans="1:22">
      <c r="A31" s="71" t="s">
        <v>1442</v>
      </c>
      <c r="B31" s="2" t="s">
        <v>1611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V31" s="12"/>
    </row>
    <row r="32" spans="1:22">
      <c r="A32" s="70" t="s">
        <v>1552</v>
      </c>
      <c r="B32" s="60" t="s">
        <v>1553</v>
      </c>
      <c r="C32" s="29"/>
      <c r="D32" s="29"/>
      <c r="E32" s="29"/>
      <c r="F32" s="29"/>
      <c r="G32" s="29"/>
      <c r="H32" s="29"/>
      <c r="I32" s="29"/>
      <c r="J32" s="29"/>
      <c r="K32" s="29"/>
      <c r="L32" s="28">
        <f>SUM('1. melléklet - Önkormányzat'!M90+'1. melléklet - Önkormányzat'!M207+'1. melléklet - Önkormányzat'!M281+'1. melléklet - Önkormányzat'!M329+'1. melléklet - Önkormányzat'!M138+'1. melléklet - Önkormányzat'!M139)</f>
        <v>36556</v>
      </c>
      <c r="M32" s="28">
        <f>SUM('1. melléklet - Önkormányzat'!N90+'1. melléklet - Önkormányzat'!N207+'1. melléklet - Önkormányzat'!N281+'1. melléklet - Önkormányzat'!N329+'1. melléklet - Önkormányzat'!N138+'1. melléklet - Önkormányzat'!N139)</f>
        <v>2566</v>
      </c>
      <c r="N32" s="28">
        <f>SUM('1. melléklet - Önkormányzat'!O90+'1. melléklet - Önkormányzat'!O207+'1. melléklet - Önkormányzat'!O281+'1. melléklet - Önkormányzat'!O329+'1. melléklet - Önkormányzat'!O138+'1. melléklet - Önkormányzat'!O139)</f>
        <v>39122</v>
      </c>
      <c r="O32" s="28">
        <f>SUM('1. melléklet - Önkormányzat'!P90+'1. melléklet - Önkormányzat'!P207+'1. melléklet - Önkormányzat'!P281+'1. melléklet - Önkormányzat'!P329+'1. melléklet - Önkormányzat'!P138+'1. melléklet - Önkormányzat'!P139)</f>
        <v>0</v>
      </c>
      <c r="P32" s="28">
        <f>SUM('1. melléklet - Önkormányzat'!Q90+'1. melléklet - Önkormányzat'!Q207+'1. melléklet - Önkormányzat'!Q281+'1. melléklet - Önkormányzat'!Q329+'1. melléklet - Önkormányzat'!Q138+'1. melléklet - Önkormányzat'!Q139)</f>
        <v>39122</v>
      </c>
      <c r="Q32" s="28">
        <f>SUM('1. melléklet - Önkormányzat'!R90+'1. melléklet - Önkormányzat'!R207+'1. melléklet - Önkormányzat'!R281+'1. melléklet - Önkormányzat'!R329+'1. melléklet - Önkormányzat'!R138+'1. melléklet - Önkormányzat'!R139)</f>
        <v>0</v>
      </c>
      <c r="R32" s="28">
        <f>SUM('1. melléklet - Önkormányzat'!S90+'1. melléklet - Önkormányzat'!S207+'1. melléklet - Önkormányzat'!S281+'1. melléklet - Önkormányzat'!S329+'1. melléklet - Önkormányzat'!S138+'1. melléklet - Önkormányzat'!S139)</f>
        <v>39122</v>
      </c>
      <c r="S32" s="28">
        <f>SUM('1. melléklet - Önkormányzat'!T90+'1. melléklet - Önkormányzat'!T207+'1. melléklet - Önkormányzat'!T281+'1. melléklet - Önkormányzat'!T329+'1. melléklet - Önkormányzat'!T138+'1. melléklet - Önkormányzat'!T139)</f>
        <v>4797</v>
      </c>
      <c r="T32" s="28">
        <f>SUM('1. melléklet - Önkormányzat'!U90+'1. melléklet - Önkormányzat'!U207+'1. melléklet - Önkormányzat'!U281+'1. melléklet - Önkormányzat'!U329+'1. melléklet - Önkormányzat'!U138+'1. melléklet - Önkormányzat'!U139)</f>
        <v>43919</v>
      </c>
      <c r="V32" s="12"/>
    </row>
    <row r="33" spans="1:22">
      <c r="A33" s="97" t="s">
        <v>1623</v>
      </c>
      <c r="B33" s="98"/>
      <c r="C33" s="29"/>
      <c r="D33" s="29"/>
      <c r="E33" s="29"/>
      <c r="F33" s="29"/>
      <c r="G33" s="29"/>
      <c r="H33" s="29"/>
      <c r="I33" s="29"/>
      <c r="J33" s="29"/>
      <c r="K33" s="29"/>
      <c r="L33" s="28">
        <f>SUM('1. melléklet - Önkormányzat'!M140)</f>
        <v>0</v>
      </c>
      <c r="M33" s="28">
        <f>SUM('1. melléklet - Önkormányzat'!N140)</f>
        <v>0</v>
      </c>
      <c r="N33" s="28">
        <f>SUM('1. melléklet - Önkormányzat'!O140)</f>
        <v>0</v>
      </c>
      <c r="O33" s="28"/>
      <c r="P33" s="28"/>
      <c r="Q33" s="28"/>
      <c r="R33" s="28"/>
      <c r="S33" s="28"/>
      <c r="T33" s="28"/>
      <c r="V33" s="12"/>
    </row>
    <row r="34" spans="1:22">
      <c r="A34" s="99" t="s">
        <v>1442</v>
      </c>
      <c r="B34" s="100" t="s">
        <v>1612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V34" s="12"/>
    </row>
    <row r="35" spans="1:22">
      <c r="A35" s="97" t="s">
        <v>1613</v>
      </c>
      <c r="B35" s="101" t="s">
        <v>1606</v>
      </c>
      <c r="C35" s="29"/>
      <c r="D35" s="29"/>
      <c r="E35" s="29"/>
      <c r="F35" s="29"/>
      <c r="G35" s="29"/>
      <c r="H35" s="29"/>
      <c r="I35" s="29"/>
      <c r="J35" s="29"/>
      <c r="K35" s="29"/>
      <c r="L35" s="28">
        <f>SUM('1. melléklet - Önkormányzat'!M142)</f>
        <v>0</v>
      </c>
      <c r="M35" s="28">
        <f>SUM('1. melléklet - Önkormányzat'!N142)</f>
        <v>0</v>
      </c>
      <c r="N35" s="28">
        <f>SUM('1. melléklet - Önkormányzat'!O142)</f>
        <v>0</v>
      </c>
      <c r="O35" s="28">
        <f>SUM('1. melléklet - Önkormányzat'!P142)</f>
        <v>0</v>
      </c>
      <c r="P35" s="28">
        <f>SUM('1. melléklet - Önkormányzat'!Q142)</f>
        <v>0</v>
      </c>
      <c r="Q35" s="28">
        <f>SUM('1. melléklet - Önkormányzat'!R142)</f>
        <v>0</v>
      </c>
      <c r="R35" s="28">
        <f>SUM('1. melléklet - Önkormányzat'!S142)</f>
        <v>0</v>
      </c>
      <c r="S35" s="28">
        <f>SUM('1. melléklet - Önkormányzat'!T142)</f>
        <v>20</v>
      </c>
      <c r="T35" s="28">
        <f>SUM('1. melléklet - Önkormányzat'!U142)</f>
        <v>20</v>
      </c>
      <c r="V35" s="12"/>
    </row>
    <row r="36" spans="1:22">
      <c r="A36" s="71" t="s">
        <v>1441</v>
      </c>
      <c r="B36" s="2" t="s">
        <v>1610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V36" s="12"/>
    </row>
    <row r="37" spans="1:22">
      <c r="A37" s="70" t="s">
        <v>1668</v>
      </c>
      <c r="B37" s="52" t="s">
        <v>1608</v>
      </c>
      <c r="C37" s="28">
        <f>SUM('1. melléklet - Önkormányzat'!D53+'1. melléklet - Önkormányzat'!D259+'1. melléklet - Önkormányzat'!D265)+'1. melléklet - Önkormányzat'!D353</f>
        <v>18856</v>
      </c>
      <c r="D37" s="28">
        <f>SUM('1. melléklet - Önkormányzat'!E53+'1. melléklet - Önkormányzat'!E259+'1. melléklet - Önkormányzat'!E265)+'1. melléklet - Önkormányzat'!E353</f>
        <v>3851</v>
      </c>
      <c r="E37" s="28">
        <f>SUM('1. melléklet - Önkormányzat'!F53+'1. melléklet - Önkormányzat'!F259+'1. melléklet - Önkormányzat'!F265)+'1. melléklet - Önkormányzat'!F353</f>
        <v>22707</v>
      </c>
      <c r="F37" s="28">
        <f>SUM('1. melléklet - Önkormányzat'!G53+'1. melléklet - Önkormányzat'!G259+'1. melléklet - Önkormányzat'!G265)+'1. melléklet - Önkormányzat'!G353</f>
        <v>-13437</v>
      </c>
      <c r="G37" s="28">
        <f>SUM('1. melléklet - Önkormányzat'!H53+'1. melléklet - Önkormányzat'!H259+'1. melléklet - Önkormányzat'!H265)+'1. melléklet - Önkormányzat'!H353</f>
        <v>9270</v>
      </c>
      <c r="H37" s="28">
        <f>SUM('1. melléklet - Önkormányzat'!I53+'1. melléklet - Önkormányzat'!I259+'1. melléklet - Önkormányzat'!I265)+'1. melléklet - Önkormányzat'!I353</f>
        <v>14049</v>
      </c>
      <c r="I37" s="28">
        <f>SUM('1. melléklet - Önkormányzat'!J53+'1. melléklet - Önkormányzat'!J259+'1. melléklet - Önkormányzat'!J265)+'1. melléklet - Önkormányzat'!J353</f>
        <v>23319</v>
      </c>
      <c r="J37" s="28">
        <f>SUM('1. melléklet - Önkormányzat'!K53+'1. melléklet - Önkormányzat'!K259+'1. melléklet - Önkormányzat'!K265)+'1. melléklet - Önkormányzat'!K353+'1. melléklet - Önkormányzat'!K54</f>
        <v>5447</v>
      </c>
      <c r="K37" s="28">
        <f>SUM('1. melléklet - Önkormányzat'!L53+'1. melléklet - Önkormányzat'!L259+'1. melléklet - Önkormányzat'!L265)+'1. melléklet - Önkormányzat'!L353+'1. melléklet - Önkormányzat'!L54</f>
        <v>28766</v>
      </c>
      <c r="L37" s="29"/>
      <c r="M37" s="29"/>
      <c r="N37" s="29"/>
      <c r="O37" s="29"/>
      <c r="P37" s="29"/>
      <c r="Q37" s="29"/>
      <c r="R37" s="29"/>
      <c r="S37" s="29"/>
      <c r="T37" s="29"/>
      <c r="V37" s="12"/>
    </row>
    <row r="38" spans="1:22">
      <c r="A38" s="70" t="s">
        <v>1585</v>
      </c>
      <c r="B38" s="52" t="s">
        <v>1609</v>
      </c>
      <c r="C38" s="28">
        <f>SUM('1. melléklet - Önkormányzat'!D271)</f>
        <v>960</v>
      </c>
      <c r="D38" s="28">
        <f>SUM('1. melléklet - Önkormányzat'!E271)</f>
        <v>0</v>
      </c>
      <c r="E38" s="28">
        <f>SUM('1. melléklet - Önkormányzat'!F271)</f>
        <v>960</v>
      </c>
      <c r="F38" s="28">
        <f>SUM('1. melléklet - Önkormányzat'!G271)</f>
        <v>789</v>
      </c>
      <c r="G38" s="28">
        <f>SUM('1. melléklet - Önkormányzat'!H271)</f>
        <v>1749</v>
      </c>
      <c r="H38" s="28">
        <f>SUM('1. melléklet - Önkormányzat'!I271)</f>
        <v>0</v>
      </c>
      <c r="I38" s="28">
        <f>SUM('1. melléklet - Önkormányzat'!J271)</f>
        <v>1749</v>
      </c>
      <c r="J38" s="28">
        <f>SUM('1. melléklet - Önkormányzat'!K271)</f>
        <v>22</v>
      </c>
      <c r="K38" s="28">
        <f>SUM('1. melléklet - Önkormányzat'!L271)</f>
        <v>1771</v>
      </c>
      <c r="L38" s="29"/>
      <c r="M38" s="29"/>
      <c r="N38" s="29"/>
      <c r="O38" s="29"/>
      <c r="P38" s="29"/>
      <c r="Q38" s="29"/>
      <c r="R38" s="29"/>
      <c r="S38" s="29"/>
      <c r="T38" s="29"/>
      <c r="V38" s="12"/>
    </row>
    <row r="39" spans="1:22">
      <c r="A39" s="70" t="s">
        <v>1274</v>
      </c>
      <c r="B39" s="52" t="s">
        <v>1299</v>
      </c>
      <c r="C39" s="28">
        <f>SUM('1. melléklet - Önkormányzat'!D171)</f>
        <v>76535</v>
      </c>
      <c r="D39" s="28">
        <f>SUM('1. melléklet - Önkormányzat'!E171)</f>
        <v>664</v>
      </c>
      <c r="E39" s="28">
        <f>SUM('1. melléklet - Önkormányzat'!F171)</f>
        <v>77199</v>
      </c>
      <c r="F39" s="28">
        <f>SUM('1. melléklet - Önkormányzat'!G171)</f>
        <v>90</v>
      </c>
      <c r="G39" s="28">
        <f>SUM('1. melléklet - Önkormányzat'!H171)</f>
        <v>77289</v>
      </c>
      <c r="H39" s="28">
        <f>SUM('1. melléklet - Önkormányzat'!I171)</f>
        <v>-28664</v>
      </c>
      <c r="I39" s="28">
        <f>SUM('1. melléklet - Önkormányzat'!J171)</f>
        <v>48625</v>
      </c>
      <c r="J39" s="28">
        <f>SUM('1. melléklet - Önkormányzat'!K171)</f>
        <v>1163</v>
      </c>
      <c r="K39" s="28">
        <f>SUM('1. melléklet - Önkormányzat'!L171)</f>
        <v>49788</v>
      </c>
      <c r="L39" s="29"/>
      <c r="M39" s="29"/>
      <c r="N39" s="29"/>
      <c r="O39" s="29"/>
      <c r="P39" s="29"/>
      <c r="Q39" s="29"/>
      <c r="R39" s="29"/>
      <c r="S39" s="29"/>
      <c r="T39" s="29"/>
      <c r="V39" s="12"/>
    </row>
    <row r="40" spans="1:22">
      <c r="A40" s="71" t="s">
        <v>1614</v>
      </c>
      <c r="B40" s="96" t="s">
        <v>1300</v>
      </c>
      <c r="C40" s="29"/>
      <c r="D40" s="29"/>
      <c r="E40" s="29"/>
      <c r="F40" s="29"/>
      <c r="G40" s="29"/>
      <c r="H40" s="29"/>
      <c r="I40" s="29"/>
      <c r="J40" s="29"/>
      <c r="K40" s="29"/>
      <c r="L40" s="28"/>
      <c r="M40" s="28"/>
      <c r="N40" s="28"/>
      <c r="O40" s="28"/>
      <c r="P40" s="28"/>
      <c r="Q40" s="28"/>
      <c r="R40" s="28"/>
      <c r="S40" s="28"/>
      <c r="T40" s="28"/>
      <c r="V40" s="12"/>
    </row>
    <row r="41" spans="1:22">
      <c r="A41" s="71" t="s">
        <v>1568</v>
      </c>
      <c r="B41" s="2" t="s">
        <v>1301</v>
      </c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9"/>
      <c r="N41" s="29"/>
      <c r="O41" s="29"/>
      <c r="P41" s="29"/>
      <c r="Q41" s="29"/>
      <c r="R41" s="29"/>
      <c r="S41" s="29"/>
      <c r="T41" s="29"/>
      <c r="V41" s="12"/>
    </row>
    <row r="42" spans="1:22" ht="29.25">
      <c r="A42" s="70" t="s">
        <v>1557</v>
      </c>
      <c r="B42" s="54" t="s">
        <v>1669</v>
      </c>
      <c r="C42" s="29"/>
      <c r="D42" s="29"/>
      <c r="E42" s="29"/>
      <c r="F42" s="29"/>
      <c r="G42" s="29"/>
      <c r="H42" s="29"/>
      <c r="I42" s="29"/>
      <c r="J42" s="29"/>
      <c r="K42" s="29"/>
      <c r="L42" s="28">
        <f>SUM('1. melléklet - Önkormányzat'!M56)</f>
        <v>15721</v>
      </c>
      <c r="M42" s="33">
        <f>SUM('1. melléklet - Önkormányzat'!N56)</f>
        <v>-5235</v>
      </c>
      <c r="N42" s="28">
        <f>SUM('1. melléklet - Önkormányzat'!O56)</f>
        <v>10486</v>
      </c>
      <c r="O42" s="28">
        <f>SUM('1. melléklet - Önkormányzat'!P56)</f>
        <v>0</v>
      </c>
      <c r="P42" s="28">
        <f>SUM('1. melléklet - Önkormányzat'!Q56)</f>
        <v>10486</v>
      </c>
      <c r="Q42" s="28">
        <f>SUM('1. melléklet - Önkormányzat'!R56)</f>
        <v>0</v>
      </c>
      <c r="R42" s="28">
        <f>SUM('1. melléklet - Önkormányzat'!S56)</f>
        <v>10486</v>
      </c>
      <c r="S42" s="28">
        <f>SUM('1. melléklet - Önkormányzat'!T56)</f>
        <v>0</v>
      </c>
      <c r="T42" s="28">
        <f>SUM('1. melléklet - Önkormányzat'!U56)</f>
        <v>10486</v>
      </c>
      <c r="V42" s="12"/>
    </row>
    <row r="43" spans="1:22">
      <c r="A43" s="64"/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V43" s="12"/>
    </row>
    <row r="44" spans="1:22">
      <c r="A44" s="71" t="s">
        <v>1442</v>
      </c>
      <c r="B44" s="2" t="s">
        <v>1304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V44" s="12"/>
    </row>
    <row r="45" spans="1:22">
      <c r="A45" s="70" t="s">
        <v>1448</v>
      </c>
      <c r="B45" s="52" t="s">
        <v>1449</v>
      </c>
      <c r="C45" s="29"/>
      <c r="D45" s="29"/>
      <c r="E45" s="29"/>
      <c r="F45" s="29"/>
      <c r="G45" s="29"/>
      <c r="H45" s="29"/>
      <c r="I45" s="29"/>
      <c r="J45" s="29"/>
      <c r="K45" s="29"/>
      <c r="L45" s="28">
        <f>SUM('1. melléklet - Önkormányzat'!M98+'1. melléklet - Önkormányzat'!M284+'1. melléklet - Önkormányzat'!M300+'1. melléklet - Önkormányzat'!M323+'1. melléklet - Önkormányzat'!M340)</f>
        <v>36274</v>
      </c>
      <c r="M45" s="28">
        <f>SUM('1. melléklet - Önkormányzat'!N98+'1. melléklet - Önkormányzat'!N284+'1. melléklet - Önkormányzat'!N300+'1. melléklet - Önkormányzat'!N323+'1. melléklet - Önkormányzat'!N340)</f>
        <v>0</v>
      </c>
      <c r="N45" s="28">
        <f>SUM('1. melléklet - Önkormányzat'!O98+'1. melléklet - Önkormányzat'!O284+'1. melléklet - Önkormányzat'!O300+'1. melléklet - Önkormányzat'!O323+'1. melléklet - Önkormányzat'!O340)</f>
        <v>36274</v>
      </c>
      <c r="O45" s="28">
        <f>SUM('1. melléklet - Önkormányzat'!P98+'1. melléklet - Önkormányzat'!P135+'1. melléklet - Önkormányzat'!P284+'1. melléklet - Önkormányzat'!P300+'1. melléklet - Önkormányzat'!P323+'1. melléklet - Önkormányzat'!P340)</f>
        <v>80321</v>
      </c>
      <c r="P45" s="28">
        <f>SUM('1. melléklet - Önkormányzat'!Q98+'1. melléklet - Önkormányzat'!Q135+'1. melléklet - Önkormányzat'!Q284+'1. melléklet - Önkormányzat'!Q300+'1. melléklet - Önkormányzat'!Q323+'1. melléklet - Önkormányzat'!Q340)</f>
        <v>116595</v>
      </c>
      <c r="Q45" s="28">
        <f>SUM('1. melléklet - Önkormányzat'!R98+'1. melléklet - Önkormányzat'!R135+'1. melléklet - Önkormányzat'!R284+'1. melléklet - Önkormányzat'!R300+'1. melléklet - Önkormányzat'!R323+'1. melléklet - Önkormányzat'!R340)</f>
        <v>54</v>
      </c>
      <c r="R45" s="28">
        <f>SUM('1. melléklet - Önkormányzat'!S98+'1. melléklet - Önkormányzat'!S135+'1. melléklet - Önkormányzat'!S284+'1. melléklet - Önkormányzat'!S300+'1. melléklet - Önkormányzat'!S323+'1. melléklet - Önkormányzat'!S340)</f>
        <v>116649</v>
      </c>
      <c r="S45" s="28">
        <f>SUM('1. melléklet - Önkormányzat'!T98+'1. melléklet - Önkormányzat'!T135+'1. melléklet - Önkormányzat'!T284+'1. melléklet - Önkormányzat'!T300+'1. melléklet - Önkormányzat'!T323+'1. melléklet - Önkormányzat'!T340)</f>
        <v>0</v>
      </c>
      <c r="T45" s="28">
        <f>SUM('1. melléklet - Önkormányzat'!U98+'1. melléklet - Önkormányzat'!U135+'1. melléklet - Önkormányzat'!U284+'1. melléklet - Önkormányzat'!U300+'1. melléklet - Önkormányzat'!U323+'1. melléklet - Önkormányzat'!U340)</f>
        <v>116649</v>
      </c>
      <c r="V45" s="12"/>
    </row>
    <row r="46" spans="1:22">
      <c r="A46" s="70" t="s">
        <v>1446</v>
      </c>
      <c r="B46" s="52" t="s">
        <v>1617</v>
      </c>
      <c r="C46" s="29"/>
      <c r="D46" s="29"/>
      <c r="E46" s="29"/>
      <c r="F46" s="29"/>
      <c r="G46" s="29"/>
      <c r="H46" s="29"/>
      <c r="I46" s="29"/>
      <c r="J46" s="29"/>
      <c r="K46" s="29"/>
      <c r="L46" s="28">
        <f>SUM('1. melléklet - Önkormányzat'!C170)</f>
        <v>0</v>
      </c>
      <c r="M46" s="28">
        <f>SUM('1. melléklet - Önkormányzat'!D170)</f>
        <v>0</v>
      </c>
      <c r="N46" s="28">
        <f>SUM('1. melléklet - Önkormányzat'!E170)</f>
        <v>0</v>
      </c>
      <c r="O46" s="28">
        <f>SUM('1. melléklet - Önkormányzat'!F170)</f>
        <v>0</v>
      </c>
      <c r="P46" s="28">
        <f>SUM('1. melléklet - Önkormányzat'!G170)</f>
        <v>0</v>
      </c>
      <c r="Q46" s="28">
        <f>SUM('1. melléklet - Önkormányzat'!H170)</f>
        <v>0</v>
      </c>
      <c r="R46" s="28">
        <f>SUM('1. melléklet - Önkormányzat'!I170)</f>
        <v>0</v>
      </c>
      <c r="S46" s="28">
        <f>SUM('1. melléklet - Önkormányzat'!J170)</f>
        <v>0</v>
      </c>
      <c r="T46" s="28">
        <f>SUM('1. melléklet - Önkormányzat'!K170)</f>
        <v>0</v>
      </c>
      <c r="V46" s="12"/>
    </row>
    <row r="47" spans="1:22">
      <c r="A47" s="70" t="s">
        <v>1551</v>
      </c>
      <c r="B47" s="52" t="s">
        <v>1305</v>
      </c>
      <c r="C47" s="29"/>
      <c r="D47" s="29"/>
      <c r="E47" s="29"/>
      <c r="F47" s="29"/>
      <c r="G47" s="29"/>
      <c r="H47" s="29"/>
      <c r="I47" s="29"/>
      <c r="J47" s="29"/>
      <c r="K47" s="29"/>
      <c r="L47" s="28">
        <f>SUM('1. melléklet - Önkormányzat'!M145)</f>
        <v>84768</v>
      </c>
      <c r="M47" s="28">
        <f>SUM('1. melléklet - Önkormányzat'!N145)</f>
        <v>-84768</v>
      </c>
      <c r="N47" s="28">
        <f>SUM('1. melléklet - Önkormányzat'!O145)</f>
        <v>0</v>
      </c>
      <c r="O47" s="28">
        <f>SUM('1. melléklet - Önkormányzat'!P145)</f>
        <v>0</v>
      </c>
      <c r="P47" s="28">
        <f>SUM('1. melléklet - Önkormányzat'!Q145)</f>
        <v>0</v>
      </c>
      <c r="Q47" s="28">
        <f>SUM('1. melléklet - Önkormányzat'!R145)</f>
        <v>0</v>
      </c>
      <c r="R47" s="28">
        <f>SUM('1. melléklet - Önkormányzat'!S145)</f>
        <v>0</v>
      </c>
      <c r="S47" s="28">
        <f>SUM('1. melléklet - Önkormányzat'!T145)</f>
        <v>0</v>
      </c>
      <c r="T47" s="28">
        <f>SUM('1. melléklet - Önkormányzat'!U145)</f>
        <v>0</v>
      </c>
      <c r="V47" s="12"/>
    </row>
    <row r="48" spans="1:22">
      <c r="A48" s="70" t="s">
        <v>1551</v>
      </c>
      <c r="B48" s="52" t="s">
        <v>1306</v>
      </c>
      <c r="C48" s="29"/>
      <c r="D48" s="29"/>
      <c r="E48" s="29"/>
      <c r="F48" s="29"/>
      <c r="G48" s="29"/>
      <c r="H48" s="29"/>
      <c r="I48" s="29"/>
      <c r="J48" s="29"/>
      <c r="K48" s="29"/>
      <c r="L48" s="28">
        <f>SUM('1. melléklet - Önkormányzat'!M146)</f>
        <v>6000</v>
      </c>
      <c r="M48" s="28">
        <f>SUM('1. melléklet - Önkormányzat'!N146)</f>
        <v>-6000</v>
      </c>
      <c r="N48" s="28">
        <f>SUM('1. melléklet - Önkormányzat'!O146)</f>
        <v>0</v>
      </c>
      <c r="O48" s="28">
        <f>SUM('1. melléklet - Önkormányzat'!P146)</f>
        <v>0</v>
      </c>
      <c r="P48" s="28">
        <f>SUM('1. melléklet - Önkormányzat'!Q146)</f>
        <v>0</v>
      </c>
      <c r="Q48" s="28">
        <f>SUM('1. melléklet - Önkormányzat'!R146)</f>
        <v>0</v>
      </c>
      <c r="R48" s="28">
        <f>SUM('1. melléklet - Önkormányzat'!S146)</f>
        <v>0</v>
      </c>
      <c r="S48" s="28">
        <f>SUM('1. melléklet - Önkormányzat'!T146)</f>
        <v>0</v>
      </c>
      <c r="T48" s="28">
        <f>SUM('1. melléklet - Önkormányzat'!U146)</f>
        <v>0</v>
      </c>
      <c r="V48" s="12"/>
    </row>
    <row r="49" spans="1:22">
      <c r="A49" s="70" t="s">
        <v>1702</v>
      </c>
      <c r="B49" s="52" t="s">
        <v>1703</v>
      </c>
      <c r="C49" s="29"/>
      <c r="D49" s="29"/>
      <c r="E49" s="29"/>
      <c r="F49" s="29"/>
      <c r="G49" s="29"/>
      <c r="H49" s="29"/>
      <c r="I49" s="29"/>
      <c r="J49" s="29"/>
      <c r="K49" s="29"/>
      <c r="L49" s="28">
        <f>SUM('1. melléklet - Önkormányzat'!M147)</f>
        <v>0</v>
      </c>
      <c r="M49" s="28">
        <f>SUM('1. melléklet - Önkormányzat'!N147)</f>
        <v>0</v>
      </c>
      <c r="N49" s="28">
        <f>SUM('1. melléklet - Önkormányzat'!O147)</f>
        <v>0</v>
      </c>
      <c r="O49" s="28">
        <f>SUM('1. melléklet - Önkormányzat'!P147)</f>
        <v>0</v>
      </c>
      <c r="P49" s="28">
        <f>SUM('1. melléklet - Önkormányzat'!Q147)</f>
        <v>0</v>
      </c>
      <c r="Q49" s="28">
        <f>SUM('1. melléklet - Önkormányzat'!R147)</f>
        <v>0</v>
      </c>
      <c r="R49" s="28">
        <f>SUM('1. melléklet - Önkormányzat'!S147)</f>
        <v>0</v>
      </c>
      <c r="S49" s="28">
        <f>SUM('1. melléklet - Önkormányzat'!T147)</f>
        <v>100</v>
      </c>
      <c r="T49" s="28">
        <f>SUM('1. melléklet - Önkormányzat'!U147)</f>
        <v>100</v>
      </c>
      <c r="V49" s="12"/>
    </row>
    <row r="50" spans="1:22">
      <c r="A50" s="23" t="s">
        <v>1245</v>
      </c>
      <c r="B50" s="184" t="s">
        <v>1244</v>
      </c>
      <c r="C50" s="29"/>
      <c r="D50" s="29"/>
      <c r="E50" s="29"/>
      <c r="F50" s="29"/>
      <c r="G50" s="29"/>
      <c r="H50" s="29"/>
      <c r="I50" s="29"/>
      <c r="J50" s="29"/>
      <c r="K50" s="29"/>
      <c r="L50" s="28">
        <f>SUM('1. melléklet - Önkormányzat'!M148)</f>
        <v>9209</v>
      </c>
      <c r="M50" s="28">
        <f>SUM('1. melléklet - Önkormányzat'!N148)</f>
        <v>0</v>
      </c>
      <c r="N50" s="28">
        <f>SUM('1. melléklet - Önkormányzat'!O148)</f>
        <v>9209</v>
      </c>
      <c r="O50" s="28">
        <f>SUM('1. melléklet - Önkormányzat'!P148)</f>
        <v>0</v>
      </c>
      <c r="P50" s="28">
        <f>SUM('1. melléklet - Önkormányzat'!Q148)</f>
        <v>9209</v>
      </c>
      <c r="Q50" s="28">
        <f>SUM('1. melléklet - Önkormányzat'!R148)</f>
        <v>0</v>
      </c>
      <c r="R50" s="28">
        <f>SUM('1. melléklet - Önkormányzat'!S148)</f>
        <v>9209</v>
      </c>
      <c r="S50" s="28">
        <f>SUM('1. melléklet - Önkormányzat'!T148)</f>
        <v>6693</v>
      </c>
      <c r="T50" s="28">
        <f>SUM('1. melléklet - Önkormányzat'!U148)</f>
        <v>15902</v>
      </c>
      <c r="V50" s="12"/>
    </row>
    <row r="51" spans="1:22">
      <c r="A51" s="70" t="s">
        <v>1591</v>
      </c>
      <c r="B51" s="59" t="s">
        <v>1418</v>
      </c>
      <c r="C51" s="29"/>
      <c r="D51" s="29"/>
      <c r="E51" s="29"/>
      <c r="F51" s="29"/>
      <c r="G51" s="29"/>
      <c r="H51" s="29"/>
      <c r="I51" s="29"/>
      <c r="J51" s="29"/>
      <c r="K51" s="29"/>
      <c r="L51" s="28">
        <f>SUM('1. melléklet - Önkormányzat'!M356)</f>
        <v>3463</v>
      </c>
      <c r="M51" s="28">
        <f>SUM('1. melléklet - Önkormányzat'!N356)</f>
        <v>0</v>
      </c>
      <c r="N51" s="28">
        <f>SUM('1. melléklet - Önkormányzat'!O356)</f>
        <v>3463</v>
      </c>
      <c r="O51" s="28">
        <f>SUM('1. melléklet - Önkormányzat'!P356)</f>
        <v>0</v>
      </c>
      <c r="P51" s="28">
        <f>SUM('1. melléklet - Önkormányzat'!Q356)</f>
        <v>3463</v>
      </c>
      <c r="Q51" s="28">
        <f>SUM('1. melléklet - Önkormányzat'!R356)</f>
        <v>0</v>
      </c>
      <c r="R51" s="28">
        <f>SUM('1. melléklet - Önkormányzat'!S356)</f>
        <v>3463</v>
      </c>
      <c r="S51" s="28">
        <f>SUM('1. melléklet - Önkormányzat'!T356)</f>
        <v>0</v>
      </c>
      <c r="T51" s="28">
        <f>SUM('1. melléklet - Önkormányzat'!U356)</f>
        <v>3463</v>
      </c>
      <c r="V51" s="12"/>
    </row>
    <row r="52" spans="1:22">
      <c r="A52" s="71" t="s">
        <v>1618</v>
      </c>
      <c r="B52" s="2" t="s">
        <v>1307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V52" s="12"/>
    </row>
    <row r="53" spans="1:22">
      <c r="A53" s="70" t="s">
        <v>1561</v>
      </c>
      <c r="B53" s="52" t="s">
        <v>1619</v>
      </c>
      <c r="C53" s="28">
        <f>SUM('1. melléklet - Önkormányzat'!D326+'1. melléklet - Önkormányzat'!D342+'1. melléklet - Önkormányzat'!D359)</f>
        <v>2413</v>
      </c>
      <c r="D53" s="28">
        <f>SUM('1. melléklet - Önkormányzat'!E326+'1. melléklet - Önkormányzat'!E342+'1. melléklet - Önkormányzat'!E359)</f>
        <v>0</v>
      </c>
      <c r="E53" s="28">
        <f>SUM('1. melléklet - Önkormányzat'!F326+'1. melléklet - Önkormányzat'!F342+'1. melléklet - Önkormányzat'!F359)</f>
        <v>2413</v>
      </c>
      <c r="F53" s="28">
        <f>SUM('1. melléklet - Önkormányzat'!G326+'1. melléklet - Önkormányzat'!G342+'1. melléklet - Önkormányzat'!G359)</f>
        <v>0</v>
      </c>
      <c r="G53" s="28">
        <f>SUM('1. melléklet - Önkormányzat'!H326+'1. melléklet - Önkormányzat'!H342+'1. melléklet - Önkormányzat'!H359)</f>
        <v>2413</v>
      </c>
      <c r="H53" s="28">
        <f>SUM('1. melléklet - Önkormányzat'!I326+'1. melléklet - Önkormányzat'!I342+'1. melléklet - Önkormányzat'!I359)</f>
        <v>-917</v>
      </c>
      <c r="I53" s="28">
        <f>SUM('1. melléklet - Önkormányzat'!J326+'1. melléklet - Önkormányzat'!J342+'1. melléklet - Önkormányzat'!J359)</f>
        <v>1496</v>
      </c>
      <c r="J53" s="28">
        <f>SUM('1. melléklet - Önkormányzat'!K326+'1. melléklet - Önkormányzat'!K342+'1. melléklet - Önkormányzat'!K359)</f>
        <v>1</v>
      </c>
      <c r="K53" s="28">
        <f>SUM('1. melléklet - Önkormányzat'!L326+'1. melléklet - Önkormányzat'!L342+'1. melléklet - Önkormányzat'!L359)</f>
        <v>1497</v>
      </c>
      <c r="L53" s="29"/>
      <c r="M53" s="29"/>
      <c r="N53" s="29"/>
      <c r="O53" s="29"/>
      <c r="P53" s="29"/>
      <c r="Q53" s="29"/>
      <c r="R53" s="29"/>
      <c r="S53" s="29"/>
      <c r="T53" s="29"/>
      <c r="V53" s="12"/>
    </row>
    <row r="54" spans="1:22">
      <c r="A54" s="70" t="s">
        <v>1562</v>
      </c>
      <c r="B54" s="52" t="s">
        <v>1620</v>
      </c>
      <c r="C54" s="28">
        <f>SUM('1. melléklet - Önkormányzat'!D286+'1. melléklet - Önkormányzat'!D302)</f>
        <v>0</v>
      </c>
      <c r="D54" s="28">
        <f>SUM('1. melléklet - Önkormányzat'!E286+'1. melléklet - Önkormányzat'!E302)</f>
        <v>0</v>
      </c>
      <c r="E54" s="28">
        <f>SUM('1. melléklet - Önkormányzat'!F286+'1. melléklet - Önkormányzat'!F302)</f>
        <v>0</v>
      </c>
      <c r="F54" s="28">
        <f>SUM('1. melléklet - Önkormányzat'!G286+'1. melléklet - Önkormányzat'!G302)</f>
        <v>0</v>
      </c>
      <c r="G54" s="28">
        <f>SUM('1. melléklet - Önkormányzat'!H286+'1. melléklet - Önkormányzat'!H302)</f>
        <v>0</v>
      </c>
      <c r="H54" s="28">
        <f>SUM('1. melléklet - Önkormányzat'!I286+'1. melléklet - Önkormányzat'!I302)</f>
        <v>0</v>
      </c>
      <c r="I54" s="28">
        <f>SUM('1. melléklet - Önkormányzat'!J286+'1. melléklet - Önkormányzat'!J302)</f>
        <v>0</v>
      </c>
      <c r="J54" s="28">
        <f>SUM('1. melléklet - Önkormányzat'!K286+'1. melléklet - Önkormányzat'!K302)</f>
        <v>0</v>
      </c>
      <c r="K54" s="28">
        <f>SUM('1. melléklet - Önkormányzat'!L286+'1. melléklet - Önkormányzat'!L302)</f>
        <v>0</v>
      </c>
      <c r="L54" s="29"/>
      <c r="M54" s="29"/>
      <c r="N54" s="29"/>
      <c r="O54" s="29"/>
      <c r="P54" s="29"/>
      <c r="Q54" s="29"/>
      <c r="R54" s="29"/>
      <c r="S54" s="29"/>
      <c r="T54" s="29"/>
      <c r="V54" s="12"/>
    </row>
    <row r="55" spans="1:22">
      <c r="A55" s="70" t="s">
        <v>1564</v>
      </c>
      <c r="B55" s="52" t="s">
        <v>1621</v>
      </c>
      <c r="C55" s="28">
        <f>SUM('1. melléklet - Önkormányzat'!D327)</f>
        <v>0</v>
      </c>
      <c r="D55" s="28">
        <f>SUM('1. melléklet - Önkormányzat'!E327)</f>
        <v>0</v>
      </c>
      <c r="E55" s="28">
        <f>SUM('1. melléklet - Önkormányzat'!F327)</f>
        <v>0</v>
      </c>
      <c r="F55" s="28">
        <f>SUM('1. melléklet - Önkormányzat'!G327)</f>
        <v>0</v>
      </c>
      <c r="G55" s="28">
        <f>SUM('1. melléklet - Önkormányzat'!H327)</f>
        <v>0</v>
      </c>
      <c r="H55" s="28">
        <f>SUM('1. melléklet - Önkormányzat'!I327)</f>
        <v>0</v>
      </c>
      <c r="I55" s="28">
        <f>SUM('1. melléklet - Önkormányzat'!J327)</f>
        <v>0</v>
      </c>
      <c r="J55" s="28">
        <f>SUM('1. melléklet - Önkormányzat'!K327)</f>
        <v>0</v>
      </c>
      <c r="K55" s="28">
        <f>SUM('1. melléklet - Önkormányzat'!L327)</f>
        <v>0</v>
      </c>
      <c r="L55" s="29"/>
      <c r="M55" s="29"/>
      <c r="N55" s="29"/>
      <c r="O55" s="29"/>
      <c r="P55" s="29"/>
      <c r="Q55" s="29"/>
      <c r="R55" s="29"/>
      <c r="S55" s="29"/>
      <c r="T55" s="29"/>
      <c r="V55" s="12"/>
    </row>
    <row r="56" spans="1:22">
      <c r="A56" s="70" t="s">
        <v>1592</v>
      </c>
      <c r="B56" s="59" t="s">
        <v>1418</v>
      </c>
      <c r="C56" s="28">
        <f>SUM('1. melléklet - Önkormányzat'!D358)</f>
        <v>3463</v>
      </c>
      <c r="D56" s="28">
        <f>SUM('1. melléklet - Önkormányzat'!E358)</f>
        <v>0</v>
      </c>
      <c r="E56" s="28">
        <f>SUM('1. melléklet - Önkormányzat'!F358)</f>
        <v>3463</v>
      </c>
      <c r="F56" s="28">
        <f>SUM('1. melléklet - Önkormányzat'!G358)</f>
        <v>0</v>
      </c>
      <c r="G56" s="28">
        <f>SUM('1. melléklet - Önkormányzat'!H358)</f>
        <v>3463</v>
      </c>
      <c r="H56" s="28">
        <f>SUM('1. melléklet - Önkormányzat'!I358)</f>
        <v>-864</v>
      </c>
      <c r="I56" s="28">
        <f>SUM('1. melléklet - Önkormányzat'!J358)</f>
        <v>2599</v>
      </c>
      <c r="J56" s="28">
        <f>SUM('1. melléklet - Önkormányzat'!K358)</f>
        <v>864</v>
      </c>
      <c r="K56" s="28">
        <f>SUM('1. melléklet - Önkormányzat'!L358)</f>
        <v>3463</v>
      </c>
      <c r="L56" s="29"/>
      <c r="M56" s="29"/>
      <c r="N56" s="29"/>
      <c r="O56" s="29"/>
      <c r="P56" s="29"/>
      <c r="Q56" s="29"/>
      <c r="R56" s="29"/>
      <c r="S56" s="29"/>
      <c r="T56" s="29"/>
      <c r="V56" s="12"/>
    </row>
    <row r="57" spans="1:22">
      <c r="A57" s="71" t="s">
        <v>1442</v>
      </c>
      <c r="B57" s="2" t="s">
        <v>1311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V57" s="12"/>
    </row>
    <row r="58" spans="1:22">
      <c r="A58" s="70" t="s">
        <v>1574</v>
      </c>
      <c r="B58" s="52" t="s">
        <v>1264</v>
      </c>
      <c r="C58" s="29"/>
      <c r="D58" s="29"/>
      <c r="E58" s="29"/>
      <c r="F58" s="29"/>
      <c r="G58" s="29"/>
      <c r="H58" s="29"/>
      <c r="I58" s="29"/>
      <c r="J58" s="29"/>
      <c r="K58" s="29"/>
      <c r="L58" s="28">
        <f>SUM('1. melléklet - Önkormányzat'!M156)</f>
        <v>3135</v>
      </c>
      <c r="M58" s="28">
        <f>SUM('1. melléklet - Önkormányzat'!N156)</f>
        <v>0</v>
      </c>
      <c r="N58" s="28">
        <f>SUM('1. melléklet - Önkormányzat'!O156)</f>
        <v>3135</v>
      </c>
      <c r="O58" s="28">
        <f>SUM('1. melléklet - Önkormányzat'!P156)</f>
        <v>0</v>
      </c>
      <c r="P58" s="28">
        <f>SUM('1. melléklet - Önkormányzat'!Q156)</f>
        <v>3135</v>
      </c>
      <c r="Q58" s="28">
        <f>SUM('1. melléklet - Önkormányzat'!R156)</f>
        <v>0</v>
      </c>
      <c r="R58" s="28">
        <f>SUM('1. melléklet - Önkormányzat'!S156)</f>
        <v>3135</v>
      </c>
      <c r="S58" s="28">
        <f>SUM('1. melléklet - Önkormányzat'!T156)</f>
        <v>0</v>
      </c>
      <c r="T58" s="28">
        <f>SUM('1. melléklet - Önkormányzat'!U156)</f>
        <v>3135</v>
      </c>
      <c r="V58" s="12"/>
    </row>
    <row r="59" spans="1:22">
      <c r="A59" s="70" t="s">
        <v>1572</v>
      </c>
      <c r="B59" s="52" t="s">
        <v>1527</v>
      </c>
      <c r="C59" s="29"/>
      <c r="D59" s="29"/>
      <c r="E59" s="29"/>
      <c r="F59" s="29"/>
      <c r="G59" s="29"/>
      <c r="H59" s="29"/>
      <c r="I59" s="29"/>
      <c r="J59" s="29"/>
      <c r="K59" s="29"/>
      <c r="L59" s="28">
        <f>SUM('1. melléklet - Önkormányzat'!M160)</f>
        <v>0</v>
      </c>
      <c r="M59" s="28">
        <f>SUM('1. melléklet - Önkormányzat'!N160)</f>
        <v>0</v>
      </c>
      <c r="N59" s="28">
        <f>SUM('1. melléklet - Önkormányzat'!O160)</f>
        <v>0</v>
      </c>
      <c r="O59" s="28">
        <f>SUM('1. melléklet - Önkormányzat'!P160)</f>
        <v>0</v>
      </c>
      <c r="P59" s="28">
        <f>SUM('1. melléklet - Önkormányzat'!Q160)</f>
        <v>0</v>
      </c>
      <c r="Q59" s="28">
        <f>SUM('1. melléklet - Önkormányzat'!R160)</f>
        <v>0</v>
      </c>
      <c r="R59" s="28">
        <f>SUM('1. melléklet - Önkormányzat'!S160)</f>
        <v>0</v>
      </c>
      <c r="S59" s="28">
        <f>SUM('1. melléklet - Önkormányzat'!T160)</f>
        <v>0</v>
      </c>
      <c r="T59" s="28">
        <f>SUM('1. melléklet - Önkormányzat'!U160)</f>
        <v>0</v>
      </c>
      <c r="V59" s="12"/>
    </row>
    <row r="60" spans="1:22">
      <c r="A60" s="71" t="s">
        <v>1441</v>
      </c>
      <c r="B60" s="68" t="s">
        <v>1525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V60" s="12"/>
    </row>
    <row r="61" spans="1:22">
      <c r="A61" s="70" t="s">
        <v>1571</v>
      </c>
      <c r="B61" s="52" t="s">
        <v>1528</v>
      </c>
      <c r="C61" s="28">
        <f>SUM('1. melléklet - Önkormányzat'!D162)</f>
        <v>36274</v>
      </c>
      <c r="D61" s="28">
        <f>SUM('1. melléklet - Önkormányzat'!E162)</f>
        <v>0</v>
      </c>
      <c r="E61" s="28">
        <f>SUM('1. melléklet - Önkormányzat'!F162)</f>
        <v>36274</v>
      </c>
      <c r="F61" s="28">
        <f>SUM('1. melléklet - Önkormányzat'!G162)</f>
        <v>0</v>
      </c>
      <c r="G61" s="28">
        <f>SUM('1. melléklet - Önkormányzat'!H162)</f>
        <v>36274</v>
      </c>
      <c r="H61" s="28">
        <f>SUM('1. melléklet - Önkormányzat'!I162)</f>
        <v>0</v>
      </c>
      <c r="I61" s="28">
        <f>SUM('1. melléklet - Önkormányzat'!J162)</f>
        <v>36274</v>
      </c>
      <c r="J61" s="28">
        <f>SUM('1. melléklet - Önkormányzat'!K162)</f>
        <v>0</v>
      </c>
      <c r="K61" s="28">
        <f>SUM('1. melléklet - Önkormányzat'!L162)</f>
        <v>36274</v>
      </c>
      <c r="L61" s="29"/>
      <c r="M61" s="29"/>
      <c r="N61" s="29"/>
      <c r="O61" s="29"/>
      <c r="P61" s="29"/>
      <c r="Q61" s="29"/>
      <c r="R61" s="29"/>
      <c r="S61" s="29"/>
      <c r="T61" s="29"/>
      <c r="V61" s="12"/>
    </row>
    <row r="62" spans="1:22" ht="19.5">
      <c r="A62" s="97" t="s">
        <v>1571</v>
      </c>
      <c r="B62" s="132" t="s">
        <v>74</v>
      </c>
      <c r="C62" s="28">
        <f>SUM('1. melléklet - Önkormányzat'!D163)</f>
        <v>90842</v>
      </c>
      <c r="D62" s="28">
        <f>SUM('1. melléklet - Önkormányzat'!E163)</f>
        <v>-14518</v>
      </c>
      <c r="E62" s="28">
        <f>SUM('1. melléklet - Önkormányzat'!F163)</f>
        <v>76324</v>
      </c>
      <c r="F62" s="28">
        <f>SUM('1. melléklet - Önkormányzat'!G163)</f>
        <v>0</v>
      </c>
      <c r="G62" s="28">
        <f>SUM('1. melléklet - Önkormányzat'!H163)</f>
        <v>76324</v>
      </c>
      <c r="H62" s="28">
        <f>SUM('1. melléklet - Önkormányzat'!I163)</f>
        <v>0</v>
      </c>
      <c r="I62" s="28">
        <f>SUM('1. melléklet - Önkormányzat'!J163)</f>
        <v>76324</v>
      </c>
      <c r="J62" s="28">
        <f>SUM('1. melléklet - Önkormányzat'!K163)</f>
        <v>-207</v>
      </c>
      <c r="K62" s="28">
        <f>SUM('1. melléklet - Önkormányzat'!L163)</f>
        <v>76117</v>
      </c>
      <c r="L62" s="29"/>
      <c r="M62" s="29"/>
      <c r="N62" s="29"/>
      <c r="O62" s="29"/>
      <c r="P62" s="29"/>
      <c r="Q62" s="29"/>
      <c r="R62" s="29"/>
      <c r="S62" s="29"/>
      <c r="T62" s="29"/>
      <c r="V62" s="12"/>
    </row>
    <row r="63" spans="1:22" ht="19.5">
      <c r="A63" s="23" t="s">
        <v>1615</v>
      </c>
      <c r="B63" s="178" t="s">
        <v>1270</v>
      </c>
      <c r="C63" s="269">
        <f>SUM('1. melléklet - Önkormányzat'!D164)</f>
        <v>3135</v>
      </c>
      <c r="D63" s="269">
        <f>SUM('1. melléklet - Önkormányzat'!E164)</f>
        <v>0</v>
      </c>
      <c r="E63" s="269">
        <f>SUM('1. melléklet - Önkormányzat'!F164)</f>
        <v>3135</v>
      </c>
      <c r="F63" s="269">
        <f>SUM('1. melléklet - Önkormányzat'!G164)</f>
        <v>0</v>
      </c>
      <c r="G63" s="269">
        <f>SUM('1. melléklet - Önkormányzat'!H164)</f>
        <v>3135</v>
      </c>
      <c r="H63" s="269">
        <f>SUM('1. melléklet - Önkormányzat'!I164)</f>
        <v>0</v>
      </c>
      <c r="I63" s="269">
        <f>SUM('1. melléklet - Önkormányzat'!J164)</f>
        <v>3135</v>
      </c>
      <c r="J63" s="269">
        <f>SUM('1. melléklet - Önkormányzat'!K164)</f>
        <v>-3135</v>
      </c>
      <c r="K63" s="269">
        <f>SUM('1. melléklet - Önkormányzat'!L164)</f>
        <v>0</v>
      </c>
      <c r="L63" s="28"/>
      <c r="M63" s="28"/>
      <c r="N63" s="28"/>
      <c r="O63" s="28"/>
      <c r="P63" s="28"/>
      <c r="Q63" s="28"/>
      <c r="R63" s="28"/>
      <c r="S63" s="28"/>
      <c r="T63" s="28"/>
      <c r="V63" s="12"/>
    </row>
    <row r="64" spans="1:22">
      <c r="A64" s="70" t="s">
        <v>1570</v>
      </c>
      <c r="B64" s="66" t="s">
        <v>1529</v>
      </c>
      <c r="C64" s="28">
        <f>SUM('1. melléklet - Önkormányzat'!D165)</f>
        <v>2206</v>
      </c>
      <c r="D64" s="28">
        <f>SUM('1. melléklet - Önkormányzat'!E165)</f>
        <v>10774</v>
      </c>
      <c r="E64" s="28">
        <f>SUM('1. melléklet - Önkormányzat'!F165)</f>
        <v>12980</v>
      </c>
      <c r="F64" s="28">
        <f>SUM('1. melléklet - Önkormányzat'!G165)</f>
        <v>0</v>
      </c>
      <c r="G64" s="28">
        <f>SUM('1. melléklet - Önkormányzat'!H165)</f>
        <v>12980</v>
      </c>
      <c r="H64" s="28">
        <f>SUM('1. melléklet - Önkormányzat'!I165)</f>
        <v>0</v>
      </c>
      <c r="I64" s="28">
        <f>SUM('1. melléklet - Önkormányzat'!J165)</f>
        <v>12980</v>
      </c>
      <c r="J64" s="28">
        <f>SUM('1. melléklet - Önkormányzat'!K165)</f>
        <v>3135</v>
      </c>
      <c r="K64" s="28">
        <f>SUM('1. melléklet - Önkormányzat'!L165)</f>
        <v>16115</v>
      </c>
      <c r="L64" s="29"/>
      <c r="M64" s="29"/>
      <c r="N64" s="29"/>
      <c r="O64" s="29"/>
      <c r="P64" s="29"/>
      <c r="Q64" s="29"/>
      <c r="R64" s="29"/>
      <c r="S64" s="29"/>
      <c r="T64" s="29"/>
      <c r="V64" s="12"/>
    </row>
    <row r="65" spans="1:22">
      <c r="A65" s="71" t="s">
        <v>1441</v>
      </c>
      <c r="B65" s="53" t="s">
        <v>1312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V65" s="12"/>
    </row>
    <row r="66" spans="1:22">
      <c r="A66" s="70" t="s">
        <v>1566</v>
      </c>
      <c r="B66" s="52" t="s">
        <v>1567</v>
      </c>
      <c r="C66" s="28">
        <f>SUM('1. melléklet - Önkormányzat'!D105)</f>
        <v>0</v>
      </c>
      <c r="D66" s="28">
        <f>SUM('1. melléklet - Önkormányzat'!E105)</f>
        <v>0</v>
      </c>
      <c r="E66" s="28">
        <f>SUM('1. melléklet - Önkormányzat'!F105)</f>
        <v>0</v>
      </c>
      <c r="F66" s="28">
        <f>SUM('1. melléklet - Önkormányzat'!G105)</f>
        <v>0</v>
      </c>
      <c r="G66" s="28">
        <f>SUM('1. melléklet - Önkormányzat'!H105)</f>
        <v>0</v>
      </c>
      <c r="H66" s="28">
        <f>SUM('1. melléklet - Önkormányzat'!I105)</f>
        <v>0</v>
      </c>
      <c r="I66" s="28">
        <f>SUM('1. melléklet - Önkormányzat'!J105)</f>
        <v>0</v>
      </c>
      <c r="J66" s="28">
        <f>SUM('1. melléklet - Önkormányzat'!K105)</f>
        <v>0</v>
      </c>
      <c r="K66" s="28">
        <f>SUM('1. melléklet - Önkormányzat'!L105)</f>
        <v>0</v>
      </c>
      <c r="L66" s="29"/>
      <c r="M66" s="29"/>
      <c r="N66" s="29"/>
      <c r="O66" s="29"/>
      <c r="P66" s="29"/>
      <c r="Q66" s="29"/>
      <c r="R66" s="29"/>
      <c r="S66" s="29"/>
      <c r="T66" s="29"/>
      <c r="V66" s="12"/>
    </row>
    <row r="67" spans="1:22">
      <c r="A67" s="64"/>
      <c r="B67" s="52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V67" s="12"/>
    </row>
    <row r="68" spans="1:22">
      <c r="A68" s="64"/>
      <c r="B68" s="2" t="s">
        <v>1331</v>
      </c>
      <c r="C68" s="30">
        <f t="shared" ref="C68:I68" si="0">SUM(C26:C67)</f>
        <v>300111</v>
      </c>
      <c r="D68" s="30">
        <f t="shared" si="0"/>
        <v>17855</v>
      </c>
      <c r="E68" s="30">
        <f t="shared" si="0"/>
        <v>317966</v>
      </c>
      <c r="F68" s="30">
        <f t="shared" si="0"/>
        <v>363</v>
      </c>
      <c r="G68" s="30">
        <f t="shared" si="0"/>
        <v>318329</v>
      </c>
      <c r="H68" s="30">
        <f t="shared" si="0"/>
        <v>4533</v>
      </c>
      <c r="I68" s="30">
        <f t="shared" si="0"/>
        <v>322862</v>
      </c>
      <c r="J68" s="30">
        <f>SUM(J26:J67)</f>
        <v>4795</v>
      </c>
      <c r="K68" s="30">
        <f>SUM(K26:K67)</f>
        <v>327657</v>
      </c>
      <c r="L68" s="30">
        <f t="shared" ref="L68:T68" si="1">SUM(L11:L67)</f>
        <v>300111</v>
      </c>
      <c r="M68" s="30">
        <f t="shared" si="1"/>
        <v>17855</v>
      </c>
      <c r="N68" s="30">
        <f t="shared" si="1"/>
        <v>317966</v>
      </c>
      <c r="O68" s="30">
        <f t="shared" si="1"/>
        <v>363</v>
      </c>
      <c r="P68" s="30">
        <f t="shared" si="1"/>
        <v>318329</v>
      </c>
      <c r="Q68" s="30">
        <f t="shared" si="1"/>
        <v>4533</v>
      </c>
      <c r="R68" s="30">
        <f t="shared" si="1"/>
        <v>322862</v>
      </c>
      <c r="S68" s="30">
        <f t="shared" si="1"/>
        <v>4795</v>
      </c>
      <c r="T68" s="30">
        <f t="shared" si="1"/>
        <v>327657</v>
      </c>
      <c r="V68" s="12"/>
    </row>
    <row r="69" spans="1:22">
      <c r="A69" s="64"/>
      <c r="B69" s="2" t="s">
        <v>1313</v>
      </c>
      <c r="C69" s="30">
        <f>SUM('1. melléklet - Önkormányzat'!D374)</f>
        <v>1</v>
      </c>
      <c r="D69" s="30">
        <f>SUM('1. melléklet - Önkormányzat'!E374)</f>
        <v>1</v>
      </c>
      <c r="E69" s="30">
        <f>SUM('1. melléklet - Önkormányzat'!F374)</f>
        <v>2</v>
      </c>
      <c r="F69" s="30">
        <f>SUM('1. melléklet - Önkormányzat'!G374)</f>
        <v>0</v>
      </c>
      <c r="G69" s="30">
        <f>SUM('1. melléklet - Önkormányzat'!H374)</f>
        <v>2</v>
      </c>
      <c r="H69" s="30">
        <f>SUM('1. melléklet - Önkormányzat'!I374)</f>
        <v>0</v>
      </c>
      <c r="I69" s="30">
        <f>SUM('1. melléklet - Önkormányzat'!J374)</f>
        <v>2</v>
      </c>
      <c r="J69" s="30">
        <f>SUM('1. melléklet - Önkormányzat'!K374)</f>
        <v>0</v>
      </c>
      <c r="K69" s="30">
        <f>SUM('1. melléklet - Önkormányzat'!L374)</f>
        <v>2</v>
      </c>
      <c r="L69" s="29"/>
      <c r="M69" s="29"/>
      <c r="N69" s="29"/>
      <c r="O69" s="29"/>
      <c r="P69" s="29"/>
      <c r="Q69" s="29"/>
      <c r="R69" s="29"/>
      <c r="S69" s="29"/>
      <c r="T69" s="29"/>
      <c r="V69" s="12"/>
    </row>
    <row r="70" spans="1:22">
      <c r="A70" s="64"/>
      <c r="B70" s="53" t="s">
        <v>1314</v>
      </c>
      <c r="C70" s="30">
        <f>SUM('1. melléklet - Önkormányzat'!D375)</f>
        <v>69</v>
      </c>
      <c r="D70" s="30">
        <f>SUM('1. melléklet - Önkormányzat'!E375)</f>
        <v>0</v>
      </c>
      <c r="E70" s="30">
        <f>SUM('1. melléklet - Önkormányzat'!F375)</f>
        <v>69</v>
      </c>
      <c r="F70" s="30">
        <f>SUM('1. melléklet - Önkormányzat'!G375)</f>
        <v>0</v>
      </c>
      <c r="G70" s="30">
        <f>SUM('1. melléklet - Önkormányzat'!H375)</f>
        <v>69</v>
      </c>
      <c r="H70" s="30">
        <f>SUM('1. melléklet - Önkormányzat'!I375)</f>
        <v>0</v>
      </c>
      <c r="I70" s="30">
        <f>SUM('1. melléklet - Önkormányzat'!J375)</f>
        <v>69</v>
      </c>
      <c r="J70" s="30">
        <f>SUM('1. melléklet - Önkormányzat'!K375)</f>
        <v>0</v>
      </c>
      <c r="K70" s="30">
        <f>SUM('1. melléklet - Önkormányzat'!L375)</f>
        <v>69</v>
      </c>
      <c r="L70" s="29"/>
      <c r="M70" s="29"/>
      <c r="N70" s="29"/>
      <c r="O70" s="29"/>
      <c r="P70" s="29"/>
      <c r="Q70" s="29"/>
      <c r="R70" s="29"/>
      <c r="S70" s="29"/>
      <c r="T70" s="29"/>
      <c r="V70" s="12"/>
    </row>
    <row r="71" spans="1:22" ht="18" customHeight="1">
      <c r="A71" s="195"/>
      <c r="B71" s="203" t="s">
        <v>1330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V71" s="12"/>
    </row>
    <row r="72" spans="1:22">
      <c r="A72" s="135"/>
      <c r="B72" s="14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V72" s="12"/>
    </row>
    <row r="73" spans="1:22">
      <c r="A73" s="135"/>
      <c r="B73" s="152" t="s">
        <v>1280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V73" s="12"/>
    </row>
    <row r="74" spans="1:22">
      <c r="A74" s="135"/>
      <c r="B74" s="130" t="s">
        <v>1281</v>
      </c>
      <c r="C74" s="29"/>
      <c r="D74" s="29"/>
      <c r="E74" s="29"/>
      <c r="F74" s="29"/>
      <c r="G74" s="29"/>
      <c r="H74" s="29"/>
      <c r="I74" s="29"/>
      <c r="J74" s="29"/>
      <c r="K74" s="29"/>
      <c r="L74" s="28"/>
      <c r="M74" s="28"/>
      <c r="N74" s="28"/>
      <c r="O74" s="28"/>
      <c r="P74" s="28"/>
      <c r="Q74" s="28"/>
      <c r="R74" s="28"/>
      <c r="S74" s="28"/>
      <c r="T74" s="28"/>
      <c r="V74" s="12"/>
    </row>
    <row r="75" spans="1:22">
      <c r="A75" s="97" t="s">
        <v>79</v>
      </c>
      <c r="B75" s="101" t="s">
        <v>1281</v>
      </c>
      <c r="C75" s="29"/>
      <c r="D75" s="29"/>
      <c r="E75" s="29"/>
      <c r="F75" s="29"/>
      <c r="G75" s="29"/>
      <c r="H75" s="29"/>
      <c r="I75" s="29"/>
      <c r="J75" s="29"/>
      <c r="K75" s="29"/>
      <c r="L75" s="28">
        <f>SUM('2. sz. melléklet - Gondozási Kp'!M15+'2. sz. melléklet - Gondozási Kp'!M16+'2. sz. melléklet - Gondozási Kp'!M17+'2. sz. melléklet - Gondozási Kp'!M29+'2. sz. melléklet - Gondozási Kp'!M30+'2. sz. melléklet - Gondozási Kp'!M31+'2. sz. melléklet - Gondozási Kp'!M41+'2. sz. melléklet - Gondozási Kp'!M42+'2. sz. melléklet - Gondozási Kp'!M43+'2. sz. melléklet - Gondozási Kp'!M63)</f>
        <v>2684</v>
      </c>
      <c r="M75" s="28">
        <f>SUM('2. sz. melléklet - Gondozási Kp'!N15+'2. sz. melléklet - Gondozási Kp'!N16+'2. sz. melléklet - Gondozási Kp'!N17+'2. sz. melléklet - Gondozási Kp'!N29+'2. sz. melléklet - Gondozási Kp'!N30+'2. sz. melléklet - Gondozási Kp'!N31+'2. sz. melléklet - Gondozási Kp'!N41+'2. sz. melléklet - Gondozási Kp'!N42+'2. sz. melléklet - Gondozási Kp'!N43+'2. sz. melléklet - Gondozási Kp'!N63)</f>
        <v>0</v>
      </c>
      <c r="N75" s="28">
        <f>SUM('2. sz. melléklet - Gondozási Kp'!O15+'2. sz. melléklet - Gondozási Kp'!O16+'2. sz. melléklet - Gondozási Kp'!O17+'2. sz. melléklet - Gondozási Kp'!O29+'2. sz. melléklet - Gondozási Kp'!O30+'2. sz. melléklet - Gondozási Kp'!O31+'2. sz. melléklet - Gondozási Kp'!O41+'2. sz. melléklet - Gondozási Kp'!O42+'2. sz. melléklet - Gondozási Kp'!O43+'2. sz. melléklet - Gondozási Kp'!O63)</f>
        <v>2684</v>
      </c>
      <c r="O75" s="28">
        <f>SUM('2. sz. melléklet - Gondozási Kp'!P15+'2. sz. melléklet - Gondozási Kp'!P16+'2. sz. melléklet - Gondozási Kp'!P17+'2. sz. melléklet - Gondozási Kp'!P29+'2. sz. melléklet - Gondozási Kp'!P30+'2. sz. melléklet - Gondozási Kp'!P31+'2. sz. melléklet - Gondozási Kp'!P41+'2. sz. melléklet - Gondozási Kp'!P42+'2. sz. melléklet - Gondozási Kp'!P43+'2. sz. melléklet - Gondozási Kp'!P63)</f>
        <v>0</v>
      </c>
      <c r="P75" s="28">
        <f>SUM('2. sz. melléklet - Gondozási Kp'!Q15+'2. sz. melléklet - Gondozási Kp'!Q16+'2. sz. melléklet - Gondozási Kp'!Q17+'2. sz. melléklet - Gondozási Kp'!Q29+'2. sz. melléklet - Gondozási Kp'!Q30+'2. sz. melléklet - Gondozási Kp'!Q31+'2. sz. melléklet - Gondozási Kp'!Q41+'2. sz. melléklet - Gondozási Kp'!Q42+'2. sz. melléklet - Gondozási Kp'!Q43+'2. sz. melléklet - Gondozási Kp'!Q63)</f>
        <v>2684</v>
      </c>
      <c r="Q75" s="28">
        <f>SUM('2. sz. melléklet - Gondozási Kp'!R15+'2. sz. melléklet - Gondozási Kp'!R16+'2. sz. melléklet - Gondozási Kp'!R17+'2. sz. melléklet - Gondozási Kp'!R29+'2. sz. melléklet - Gondozási Kp'!R30+'2. sz. melléklet - Gondozási Kp'!R31+'2. sz. melléklet - Gondozási Kp'!R41+'2. sz. melléklet - Gondozási Kp'!R42+'2. sz. melléklet - Gondozási Kp'!R43+'2. sz. melléklet - Gondozási Kp'!R63)</f>
        <v>0</v>
      </c>
      <c r="R75" s="28">
        <f>SUM('2. sz. melléklet - Gondozási Kp'!S15+'2. sz. melléklet - Gondozási Kp'!S16+'2. sz. melléklet - Gondozási Kp'!S17+'2. sz. melléklet - Gondozási Kp'!S29+'2. sz. melléklet - Gondozási Kp'!S30+'2. sz. melléklet - Gondozási Kp'!S31+'2. sz. melléklet - Gondozási Kp'!S41+'2. sz. melléklet - Gondozási Kp'!S42+'2. sz. melléklet - Gondozási Kp'!S43+'2. sz. melléklet - Gondozási Kp'!S63)</f>
        <v>2684</v>
      </c>
      <c r="S75" s="28">
        <f>SUM('2. sz. melléklet - Gondozási Kp'!T15+'2. sz. melléklet - Gondozási Kp'!T16+'2. sz. melléklet - Gondozási Kp'!T17+'2. sz. melléklet - Gondozási Kp'!T29+'2. sz. melléklet - Gondozási Kp'!T30+'2. sz. melléklet - Gondozási Kp'!T31+'2. sz. melléklet - Gondozási Kp'!T41+'2. sz. melléklet - Gondozási Kp'!T42+'2. sz. melléklet - Gondozási Kp'!T43+'2. sz. melléklet - Gondozási Kp'!T63)</f>
        <v>699</v>
      </c>
      <c r="T75" s="28">
        <f>SUM('2. sz. melléklet - Gondozási Kp'!U15+'2. sz. melléklet - Gondozási Kp'!U16+'2. sz. melléklet - Gondozási Kp'!U17+'2. sz. melléklet - Gondozási Kp'!U29+'2. sz. melléklet - Gondozási Kp'!U30+'2. sz. melléklet - Gondozási Kp'!U31+'2. sz. melléklet - Gondozási Kp'!U41+'2. sz. melléklet - Gondozási Kp'!U42+'2. sz. melléklet - Gondozási Kp'!U43+'2. sz. melléklet - Gondozási Kp'!U63)</f>
        <v>3383</v>
      </c>
      <c r="V75" s="12"/>
    </row>
    <row r="76" spans="1:22">
      <c r="A76" s="97" t="s">
        <v>1548</v>
      </c>
      <c r="B76" s="101" t="s">
        <v>80</v>
      </c>
      <c r="C76" s="29"/>
      <c r="D76" s="29"/>
      <c r="E76" s="29"/>
      <c r="F76" s="29"/>
      <c r="G76" s="29"/>
      <c r="H76" s="29"/>
      <c r="I76" s="29"/>
      <c r="J76" s="29"/>
      <c r="K76" s="29"/>
      <c r="L76" s="28">
        <f>SUM('2. sz. melléklet - Gondozási Kp'!M62)</f>
        <v>340</v>
      </c>
      <c r="M76" s="28">
        <f>SUM('2. sz. melléklet - Gondozási Kp'!N62)</f>
        <v>0</v>
      </c>
      <c r="N76" s="28">
        <f>SUM('2. sz. melléklet - Gondozási Kp'!O62)</f>
        <v>340</v>
      </c>
      <c r="O76" s="28">
        <f>SUM('2. sz. melléklet - Gondozási Kp'!P62)</f>
        <v>0</v>
      </c>
      <c r="P76" s="28">
        <f>SUM('2. sz. melléklet - Gondozási Kp'!Q62)</f>
        <v>340</v>
      </c>
      <c r="Q76" s="28">
        <f>SUM('2. sz. melléklet - Gondozási Kp'!R62)</f>
        <v>0</v>
      </c>
      <c r="R76" s="28">
        <f>SUM('2. sz. melléklet - Gondozási Kp'!S62)</f>
        <v>340</v>
      </c>
      <c r="S76" s="28">
        <f>SUM('2. sz. melléklet - Gondozási Kp'!T62)</f>
        <v>-340</v>
      </c>
      <c r="T76" s="28">
        <f>SUM('2. sz. melléklet - Gondozási Kp'!U62)</f>
        <v>0</v>
      </c>
      <c r="V76" s="12"/>
    </row>
    <row r="77" spans="1:22" s="215" customFormat="1">
      <c r="A77" s="270" t="s">
        <v>1706</v>
      </c>
      <c r="B77" s="254" t="s">
        <v>1707</v>
      </c>
      <c r="C77" s="271"/>
      <c r="D77" s="271"/>
      <c r="E77" s="271"/>
      <c r="F77" s="271"/>
      <c r="G77" s="271"/>
      <c r="H77" s="271"/>
      <c r="I77" s="271"/>
      <c r="J77" s="271"/>
      <c r="K77" s="271"/>
      <c r="L77" s="33">
        <f>SUM('2. sz. melléklet - Gondozási Kp'!M91)</f>
        <v>0</v>
      </c>
      <c r="M77" s="33">
        <f>SUM('2. sz. melléklet - Gondozási Kp'!N91)</f>
        <v>0</v>
      </c>
      <c r="N77" s="33">
        <f>SUM('2. sz. melléklet - Gondozási Kp'!O91)</f>
        <v>0</v>
      </c>
      <c r="O77" s="33">
        <f>SUM('2. sz. melléklet - Gondozási Kp'!P91)</f>
        <v>0</v>
      </c>
      <c r="P77" s="33">
        <f>SUM('2. sz. melléklet - Gondozási Kp'!Q91)</f>
        <v>0</v>
      </c>
      <c r="Q77" s="33">
        <f>SUM('2. sz. melléklet - Gondozási Kp'!R91)</f>
        <v>0</v>
      </c>
      <c r="R77" s="33">
        <f>SUM('2. sz. melléklet - Gondozási Kp'!S91)</f>
        <v>0</v>
      </c>
      <c r="S77" s="33">
        <f>SUM('2. sz. melléklet - Gondozási Kp'!T91)</f>
        <v>422</v>
      </c>
      <c r="T77" s="33">
        <f>SUM('2. sz. melléklet - Gondozási Kp'!U91)</f>
        <v>422</v>
      </c>
      <c r="V77" s="239"/>
    </row>
    <row r="78" spans="1:22">
      <c r="A78" s="135"/>
      <c r="B78" s="130" t="s">
        <v>1292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V78" s="12"/>
    </row>
    <row r="79" spans="1:22">
      <c r="A79" s="97" t="s">
        <v>1433</v>
      </c>
      <c r="B79" s="142" t="s">
        <v>1293</v>
      </c>
      <c r="C79" s="28">
        <f>SUM('2. sz. melléklet - Gondozási Kp'!D20+'2. sz. melléklet - Gondozási Kp'!D45+'2. sz. melléklet - Gondozási Kp'!D54)</f>
        <v>8420</v>
      </c>
      <c r="D79" s="28">
        <f>SUM('2. sz. melléklet - Gondozási Kp'!E20+'2. sz. melléklet - Gondozási Kp'!E45+'2. sz. melléklet - Gondozási Kp'!E54)</f>
        <v>0</v>
      </c>
      <c r="E79" s="28">
        <f>SUM('2. sz. melléklet - Gondozási Kp'!F20+'2. sz. melléklet - Gondozási Kp'!F45+'2. sz. melléklet - Gondozási Kp'!F54)</f>
        <v>8420</v>
      </c>
      <c r="F79" s="28">
        <f>SUM('2. sz. melléklet - Gondozási Kp'!G20+'2. sz. melléklet - Gondozási Kp'!G45+'2. sz. melléklet - Gondozási Kp'!G54)</f>
        <v>0</v>
      </c>
      <c r="G79" s="28">
        <f>SUM('2. sz. melléklet - Gondozási Kp'!H20+'2. sz. melléklet - Gondozási Kp'!H45+'2. sz. melléklet - Gondozási Kp'!H54)</f>
        <v>8420</v>
      </c>
      <c r="H79" s="28">
        <f>SUM('2. sz. melléklet - Gondozási Kp'!I20+'2. sz. melléklet - Gondozási Kp'!I45+'2. sz. melléklet - Gondozási Kp'!I54)</f>
        <v>17</v>
      </c>
      <c r="I79" s="28">
        <f>SUM('2. sz. melléklet - Gondozási Kp'!J20+'2. sz. melléklet - Gondozási Kp'!J45+'2. sz. melléklet - Gondozási Kp'!J54)</f>
        <v>8437</v>
      </c>
      <c r="J79" s="28">
        <f>SUM('2. sz. melléklet - Gondozási Kp'!K20+'2. sz. melléklet - Gondozási Kp'!K45+'2. sz. melléklet - Gondozási Kp'!K54)</f>
        <v>1254</v>
      </c>
      <c r="K79" s="28">
        <f>SUM('2. sz. melléklet - Gondozási Kp'!L20+'2. sz. melléklet - Gondozási Kp'!L45+'2. sz. melléklet - Gondozási Kp'!L54)</f>
        <v>9691</v>
      </c>
      <c r="L79" s="29"/>
      <c r="M79" s="29"/>
      <c r="N79" s="29"/>
      <c r="O79" s="29"/>
      <c r="P79" s="29"/>
      <c r="Q79" s="29"/>
      <c r="R79" s="29"/>
      <c r="S79" s="29"/>
      <c r="T79" s="29"/>
      <c r="V79" s="12"/>
    </row>
    <row r="80" spans="1:22">
      <c r="A80" s="97" t="s">
        <v>1434</v>
      </c>
      <c r="B80" s="101" t="s">
        <v>1435</v>
      </c>
      <c r="C80" s="28">
        <f>SUM('2. sz. melléklet - Gondozási Kp'!D21+'2. sz. melléklet - Gondozási Kp'!D46+'2. sz. melléklet - Gondozási Kp'!D55)</f>
        <v>2246</v>
      </c>
      <c r="D80" s="28">
        <f>SUM('2. sz. melléklet - Gondozási Kp'!E21+'2. sz. melléklet - Gondozási Kp'!E46+'2. sz. melléklet - Gondozási Kp'!E55)</f>
        <v>0</v>
      </c>
      <c r="E80" s="28">
        <f>SUM('2. sz. melléklet - Gondozási Kp'!F21+'2. sz. melléklet - Gondozási Kp'!F46+'2. sz. melléklet - Gondozási Kp'!F55)</f>
        <v>2246</v>
      </c>
      <c r="F80" s="28">
        <f>SUM('2. sz. melléklet - Gondozási Kp'!G21+'2. sz. melléklet - Gondozási Kp'!G46+'2. sz. melléklet - Gondozási Kp'!G55)</f>
        <v>0</v>
      </c>
      <c r="G80" s="28">
        <f>SUM('2. sz. melléklet - Gondozási Kp'!H21+'2. sz. melléklet - Gondozási Kp'!H46+'2. sz. melléklet - Gondozási Kp'!H55)</f>
        <v>2246</v>
      </c>
      <c r="H80" s="28">
        <f>SUM('2. sz. melléklet - Gondozási Kp'!I21+'2. sz. melléklet - Gondozási Kp'!I46+'2. sz. melléklet - Gondozási Kp'!I55)</f>
        <v>137</v>
      </c>
      <c r="I80" s="28">
        <f>SUM('2. sz. melléklet - Gondozási Kp'!J21+'2. sz. melléklet - Gondozási Kp'!J46+'2. sz. melléklet - Gondozási Kp'!J55)</f>
        <v>2383</v>
      </c>
      <c r="J80" s="28">
        <f>SUM('2. sz. melléklet - Gondozási Kp'!K21+'2. sz. melléklet - Gondozási Kp'!K46+'2. sz. melléklet - Gondozási Kp'!K55)</f>
        <v>238</v>
      </c>
      <c r="K80" s="28">
        <f>SUM('2. sz. melléklet - Gondozási Kp'!L21+'2. sz. melléklet - Gondozási Kp'!L46+'2. sz. melléklet - Gondozási Kp'!L55)</f>
        <v>2621</v>
      </c>
      <c r="L80" s="29"/>
      <c r="M80" s="29"/>
      <c r="N80" s="29"/>
      <c r="O80" s="29"/>
      <c r="P80" s="29"/>
      <c r="Q80" s="29"/>
      <c r="R80" s="29"/>
      <c r="S80" s="29"/>
      <c r="T80" s="29"/>
      <c r="V80" s="12"/>
    </row>
    <row r="81" spans="1:22">
      <c r="A81" s="97" t="s">
        <v>1454</v>
      </c>
      <c r="B81" s="142" t="s">
        <v>1294</v>
      </c>
      <c r="C81" s="28">
        <f>SUM('2. sz. melléklet - Gondozási Kp'!D22+'2. sz. melléklet - Gondozási Kp'!D34+'2. sz. melléklet - Gondozási Kp'!D47+'2. sz. melléklet - Gondozási Kp'!D56)</f>
        <v>4511</v>
      </c>
      <c r="D81" s="28">
        <f>SUM('2. sz. melléklet - Gondozási Kp'!E22+'2. sz. melléklet - Gondozási Kp'!E34+'2. sz. melléklet - Gondozási Kp'!E47+'2. sz. melléklet - Gondozási Kp'!E56)</f>
        <v>55</v>
      </c>
      <c r="E81" s="28">
        <f>SUM('2. sz. melléklet - Gondozási Kp'!F22+'2. sz. melléklet - Gondozási Kp'!F34+'2. sz. melléklet - Gondozási Kp'!F47+'2. sz. melléklet - Gondozási Kp'!F56)</f>
        <v>4566</v>
      </c>
      <c r="F81" s="28">
        <f>SUM('2. sz. melléklet - Gondozási Kp'!G22+'2. sz. melléklet - Gondozási Kp'!G34+'2. sz. melléklet - Gondozási Kp'!G47+'2. sz. melléklet - Gondozási Kp'!G56)</f>
        <v>0</v>
      </c>
      <c r="G81" s="28">
        <f>SUM('2. sz. melléklet - Gondozási Kp'!H22+'2. sz. melléklet - Gondozási Kp'!H34+'2. sz. melléklet - Gondozási Kp'!H47+'2. sz. melléklet - Gondozási Kp'!H56)</f>
        <v>4566</v>
      </c>
      <c r="H81" s="28">
        <f>SUM('2. sz. melléklet - Gondozási Kp'!I22+'2. sz. melléklet - Gondozási Kp'!I34+'2. sz. melléklet - Gondozási Kp'!I47+'2. sz. melléklet - Gondozási Kp'!I56)</f>
        <v>483</v>
      </c>
      <c r="I81" s="28">
        <f>SUM('2. sz. melléklet - Gondozási Kp'!J22+'2. sz. melléklet - Gondozási Kp'!J34+'2. sz. melléklet - Gondozási Kp'!J47+'2. sz. melléklet - Gondozási Kp'!J56)</f>
        <v>5049</v>
      </c>
      <c r="J81" s="28">
        <f>SUM('2. sz. melléklet - Gondozási Kp'!K22+'2. sz. melléklet - Gondozási Kp'!K34+'2. sz. melléklet - Gondozási Kp'!K47+'2. sz. melléklet - Gondozási Kp'!K56)</f>
        <v>898</v>
      </c>
      <c r="K81" s="28">
        <f>SUM('2. sz. melléklet - Gondozási Kp'!L22+'2. sz. melléklet - Gondozási Kp'!L34+'2. sz. melléklet - Gondozási Kp'!L47+'2. sz. melléklet - Gondozási Kp'!L56)</f>
        <v>5947</v>
      </c>
      <c r="L81" s="29"/>
      <c r="M81" s="29"/>
      <c r="N81" s="29"/>
      <c r="O81" s="29"/>
      <c r="P81" s="29"/>
      <c r="Q81" s="29"/>
      <c r="R81" s="29"/>
      <c r="S81" s="29"/>
      <c r="T81" s="29"/>
      <c r="V81" s="12"/>
    </row>
    <row r="82" spans="1:22">
      <c r="A82" s="97" t="s">
        <v>1436</v>
      </c>
      <c r="B82" s="101" t="s">
        <v>1437</v>
      </c>
      <c r="C82" s="28">
        <f>SUM('2. sz. melléklet - Gondozási Kp'!D23+'2. sz. melléklet - Gondozási Kp'!D35+'2. sz. melléklet - Gondozási Kp'!D48+'2. sz. melléklet - Gondozási Kp'!D57)</f>
        <v>1669</v>
      </c>
      <c r="D82" s="28">
        <f>SUM('2. sz. melléklet - Gondozási Kp'!E23+'2. sz. melléklet - Gondozási Kp'!E35+'2. sz. melléklet - Gondozási Kp'!E48+'2. sz. melléklet - Gondozási Kp'!E57)</f>
        <v>0</v>
      </c>
      <c r="E82" s="28">
        <f>SUM('2. sz. melléklet - Gondozási Kp'!F23+'2. sz. melléklet - Gondozási Kp'!F35+'2. sz. melléklet - Gondozási Kp'!F48+'2. sz. melléklet - Gondozási Kp'!F57)</f>
        <v>1669</v>
      </c>
      <c r="F82" s="28">
        <f>SUM('2. sz. melléklet - Gondozási Kp'!G23+'2. sz. melléklet - Gondozási Kp'!G35+'2. sz. melléklet - Gondozási Kp'!G48+'2. sz. melléklet - Gondozási Kp'!G57)</f>
        <v>0</v>
      </c>
      <c r="G82" s="28">
        <f>SUM('2. sz. melléklet - Gondozási Kp'!J23+'2. sz. melléklet - Gondozási Kp'!J35+'2. sz. melléklet - Gondozási Kp'!J48+'2. sz. melléklet - Gondozási Kp'!J57)</f>
        <v>1669</v>
      </c>
      <c r="H82" s="28">
        <f>SUM('2. sz. melléklet - Gondozási Kp'!I23+'2. sz. melléklet - Gondozási Kp'!I35+'2. sz. melléklet - Gondozási Kp'!I48+'2. sz. melléklet - Gondozási Kp'!I57)</f>
        <v>0</v>
      </c>
      <c r="I82" s="28">
        <f>G82+H82</f>
        <v>1669</v>
      </c>
      <c r="J82" s="28">
        <f>SUM('2. sz. melléklet - Gondozási Kp'!K23+'2. sz. melléklet - Gondozási Kp'!K35+'2. sz. melléklet - Gondozási Kp'!K48+'2. sz. melléklet - Gondozási Kp'!K57)</f>
        <v>-263</v>
      </c>
      <c r="K82" s="28">
        <f>I82+J82</f>
        <v>1406</v>
      </c>
      <c r="L82" s="29"/>
      <c r="M82" s="29"/>
      <c r="N82" s="29"/>
      <c r="O82" s="29"/>
      <c r="P82" s="29"/>
      <c r="Q82" s="29"/>
      <c r="R82" s="29"/>
      <c r="S82" s="29"/>
      <c r="T82" s="29"/>
      <c r="V82" s="12"/>
    </row>
    <row r="83" spans="1:22">
      <c r="A83" s="135"/>
      <c r="B83" s="142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V83" s="12"/>
    </row>
    <row r="84" spans="1:22">
      <c r="A84" s="99" t="s">
        <v>1442</v>
      </c>
      <c r="B84" s="130" t="s">
        <v>1602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V84" s="12"/>
    </row>
    <row r="85" spans="1:22" ht="19.5">
      <c r="A85" s="97" t="s">
        <v>1455</v>
      </c>
      <c r="B85" s="131" t="s">
        <v>78</v>
      </c>
      <c r="C85" s="29"/>
      <c r="D85" s="29"/>
      <c r="E85" s="29"/>
      <c r="F85" s="29"/>
      <c r="G85" s="29"/>
      <c r="H85" s="29"/>
      <c r="I85" s="29"/>
      <c r="J85" s="29"/>
      <c r="K85" s="29"/>
      <c r="L85" s="28">
        <f>SUM('2. sz. melléklet - Gondozási Kp'!M69)</f>
        <v>13822</v>
      </c>
      <c r="M85" s="28">
        <f>SUM('2. sz. melléklet - Gondozási Kp'!N69)</f>
        <v>0</v>
      </c>
      <c r="N85" s="28">
        <f>SUM('2. sz. melléklet - Gondozási Kp'!O69)</f>
        <v>13822</v>
      </c>
      <c r="O85" s="28">
        <f>SUM('2. sz. melléklet - Gondozási Kp'!P69)</f>
        <v>0</v>
      </c>
      <c r="P85" s="28">
        <f>SUM('2. sz. melléklet - Gondozási Kp'!Q69)</f>
        <v>13822</v>
      </c>
      <c r="Q85" s="28">
        <f>SUM('2. sz. melléklet - Gondozási Kp'!R69)</f>
        <v>637</v>
      </c>
      <c r="R85" s="28">
        <f>SUM('2. sz. melléklet - Gondozási Kp'!S69)</f>
        <v>14459</v>
      </c>
      <c r="S85" s="28">
        <f>SUM('2. sz. melléklet - Gondozási Kp'!T69)</f>
        <v>1346</v>
      </c>
      <c r="T85" s="28">
        <f>SUM('2. sz. melléklet - Gondozási Kp'!U69)</f>
        <v>15805</v>
      </c>
      <c r="V85" s="12"/>
    </row>
    <row r="86" spans="1:22" ht="19.5">
      <c r="A86" s="97" t="s">
        <v>1438</v>
      </c>
      <c r="B86" s="131" t="s">
        <v>1325</v>
      </c>
      <c r="C86" s="29"/>
      <c r="D86" s="29"/>
      <c r="E86" s="29"/>
      <c r="F86" s="29"/>
      <c r="G86" s="29"/>
      <c r="H86" s="29"/>
      <c r="I86" s="29"/>
      <c r="J86" s="29"/>
      <c r="K86" s="29"/>
      <c r="L86" s="28">
        <f>SUM('2. sz. melléklet - Gondozási Kp'!M71)</f>
        <v>0</v>
      </c>
      <c r="M86" s="28">
        <f>SUM('2. sz. melléklet - Gondozási Kp'!N71)</f>
        <v>55</v>
      </c>
      <c r="N86" s="28">
        <f>SUM('2. sz. melléklet - Gondozási Kp'!O71)</f>
        <v>55</v>
      </c>
      <c r="O86" s="28">
        <f>SUM('2. sz. melléklet - Gondozási Kp'!P71)</f>
        <v>0</v>
      </c>
      <c r="P86" s="28">
        <f>SUM('2. sz. melléklet - Gondozási Kp'!Q71)</f>
        <v>55</v>
      </c>
      <c r="Q86" s="28">
        <f>SUM('2. sz. melléklet - Gondozási Kp'!R71)</f>
        <v>0</v>
      </c>
      <c r="R86" s="28">
        <f>SUM('2. sz. melléklet - Gondozási Kp'!S71)</f>
        <v>55</v>
      </c>
      <c r="S86" s="28">
        <f>SUM('2. sz. melléklet - Gondozási Kp'!T71)</f>
        <v>0</v>
      </c>
      <c r="T86" s="28">
        <f>SUM('2. sz. melléklet - Gondozási Kp'!U71)</f>
        <v>55</v>
      </c>
      <c r="V86" s="12"/>
    </row>
    <row r="87" spans="1:22">
      <c r="A87" s="135"/>
      <c r="B87" s="151" t="s">
        <v>1424</v>
      </c>
      <c r="C87" s="30">
        <f t="shared" ref="C87:I87" si="2">SUM(C79:C86)</f>
        <v>16846</v>
      </c>
      <c r="D87" s="30">
        <f t="shared" si="2"/>
        <v>55</v>
      </c>
      <c r="E87" s="30">
        <f t="shared" si="2"/>
        <v>16901</v>
      </c>
      <c r="F87" s="30">
        <f t="shared" si="2"/>
        <v>0</v>
      </c>
      <c r="G87" s="30">
        <f t="shared" si="2"/>
        <v>16901</v>
      </c>
      <c r="H87" s="30">
        <f t="shared" si="2"/>
        <v>637</v>
      </c>
      <c r="I87" s="30">
        <f t="shared" si="2"/>
        <v>17538</v>
      </c>
      <c r="J87" s="30">
        <f>SUM(J79:J86)</f>
        <v>2127</v>
      </c>
      <c r="K87" s="30">
        <f>SUM(K79:K86)</f>
        <v>19665</v>
      </c>
      <c r="L87" s="30">
        <f>SUM(L74:L86)</f>
        <v>16846</v>
      </c>
      <c r="M87" s="30">
        <f t="shared" ref="M87:R87" si="3">SUM(M74:M86)</f>
        <v>55</v>
      </c>
      <c r="N87" s="30">
        <f t="shared" si="3"/>
        <v>16901</v>
      </c>
      <c r="O87" s="30">
        <f t="shared" si="3"/>
        <v>0</v>
      </c>
      <c r="P87" s="30">
        <f t="shared" si="3"/>
        <v>16901</v>
      </c>
      <c r="Q87" s="30">
        <f t="shared" si="3"/>
        <v>637</v>
      </c>
      <c r="R87" s="30">
        <f t="shared" si="3"/>
        <v>17538</v>
      </c>
      <c r="S87" s="30">
        <f>SUM(S74:S86)</f>
        <v>2127</v>
      </c>
      <c r="T87" s="30">
        <f>SUM(T74:T86)</f>
        <v>19665</v>
      </c>
      <c r="V87" s="12"/>
    </row>
    <row r="88" spans="1:22">
      <c r="A88" s="135"/>
      <c r="B88" s="130" t="s">
        <v>1313</v>
      </c>
      <c r="C88" s="30">
        <f>SUM('2. sz. melléklet - Gondozási Kp'!D76)</f>
        <v>5</v>
      </c>
      <c r="D88" s="30">
        <f>SUM('2. sz. melléklet - Gondozási Kp'!E76)</f>
        <v>0</v>
      </c>
      <c r="E88" s="30">
        <f>SUM('2. sz. melléklet - Gondozási Kp'!F76)</f>
        <v>0</v>
      </c>
      <c r="F88" s="30">
        <f>SUM('2. sz. melléklet - Gondozási Kp'!G76)</f>
        <v>0</v>
      </c>
      <c r="G88" s="30">
        <f>SUM('2. sz. melléklet - Gondozási Kp'!J76)</f>
        <v>0</v>
      </c>
      <c r="H88" s="30">
        <f>SUM('2. sz. melléklet - Gondozási Kp'!I76)</f>
        <v>0</v>
      </c>
      <c r="I88" s="30">
        <f>SUM('2. sz. melléklet - Gondozási Kp'!N76)</f>
        <v>0</v>
      </c>
      <c r="J88" s="30">
        <f>SUM('2. sz. melléklet - Gondozási Kp'!K76)</f>
        <v>0</v>
      </c>
      <c r="K88" s="30">
        <f>SUM('2. sz. melléklet - Gondozási Kp'!P76)</f>
        <v>0</v>
      </c>
      <c r="L88" s="28">
        <f>SUM('2. sz. melléklet - Gondozási Kp'!M94)-L87</f>
        <v>0</v>
      </c>
      <c r="M88" s="28">
        <f>SUM('2. sz. melléklet - Gondozási Kp'!N94)-M87</f>
        <v>0</v>
      </c>
      <c r="N88" s="28">
        <f>SUM('2. sz. melléklet - Gondozási Kp'!O94)-N87</f>
        <v>0</v>
      </c>
      <c r="O88" s="28">
        <f>SUM('2. sz. melléklet - Gondozási Kp'!P94)-O87</f>
        <v>0</v>
      </c>
      <c r="P88" s="28">
        <f>SUM('2. sz. melléklet - Gondozási Kp'!Q94)-P87</f>
        <v>0</v>
      </c>
      <c r="Q88" s="28">
        <f>SUM('2. sz. melléklet - Gondozási Kp'!R94)-Q87</f>
        <v>0</v>
      </c>
      <c r="R88" s="28">
        <f>SUM('2. sz. melléklet - Gondozási Kp'!S94)-R87</f>
        <v>0</v>
      </c>
      <c r="S88" s="28">
        <f>SUM('2. sz. melléklet - Gondozási Kp'!T94)-S87</f>
        <v>0</v>
      </c>
      <c r="T88" s="28">
        <f>SUM('2. sz. melléklet - Gondozási Kp'!U94)-T87</f>
        <v>0</v>
      </c>
      <c r="V88" s="12"/>
    </row>
    <row r="89" spans="1:22" ht="20.25" customHeight="1">
      <c r="A89" s="195"/>
      <c r="B89" s="204" t="s">
        <v>1315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V89" s="12"/>
    </row>
    <row r="90" spans="1:22">
      <c r="A90" s="135"/>
      <c r="B90" s="14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V90" s="12"/>
    </row>
    <row r="91" spans="1:22">
      <c r="A91" s="135"/>
      <c r="B91" s="141" t="s">
        <v>1280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V91" s="12"/>
    </row>
    <row r="92" spans="1:22">
      <c r="A92" s="135"/>
      <c r="B92" s="130" t="s">
        <v>1281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V92" s="12"/>
    </row>
    <row r="93" spans="1:22">
      <c r="A93" s="90" t="s">
        <v>1439</v>
      </c>
      <c r="B93" s="101" t="s">
        <v>1281</v>
      </c>
      <c r="C93" s="29"/>
      <c r="D93" s="29"/>
      <c r="E93" s="29"/>
      <c r="F93" s="29"/>
      <c r="G93" s="29"/>
      <c r="H93" s="29"/>
      <c r="I93" s="29"/>
      <c r="J93" s="29"/>
      <c r="K93" s="29"/>
      <c r="L93" s="28">
        <f>SUM('3. sz. melléklet - ÁMK'!M11+'3. sz. melléklet - ÁMK'!M23+'3. sz. melléklet - ÁMK'!M35+'3. sz. melléklet - ÁMK'!M42+'3. sz. melléklet - ÁMK'!M53+'3. sz. melléklet - ÁMK'!M73+'3. sz. melléklet - ÁMK'!M87+'3. sz. melléklet - ÁMK'!M100+'3. sz. melléklet - ÁMK'!M113)</f>
        <v>9268</v>
      </c>
      <c r="M93" s="28">
        <f>SUM('3. sz. melléklet - ÁMK'!N11+'3. sz. melléklet - ÁMK'!N23+'3. sz. melléklet - ÁMK'!N35+'3. sz. melléklet - ÁMK'!N42+'3. sz. melléklet - ÁMK'!N53+'3. sz. melléklet - ÁMK'!N73+'3. sz. melléklet - ÁMK'!N87+'3. sz. melléklet - ÁMK'!N100+'3. sz. melléklet - ÁMK'!N113)</f>
        <v>0</v>
      </c>
      <c r="N93" s="28">
        <f>SUM('3. sz. melléklet - ÁMK'!O11+'3. sz. melléklet - ÁMK'!O23+'3. sz. melléklet - ÁMK'!O35+'3. sz. melléklet - ÁMK'!O42+'3. sz. melléklet - ÁMK'!O53+'3. sz. melléklet - ÁMK'!O73+'3. sz. melléklet - ÁMK'!O87+'3. sz. melléklet - ÁMK'!O100+'3. sz. melléklet - ÁMK'!O113)</f>
        <v>9268</v>
      </c>
      <c r="O93" s="28">
        <f>SUM('3. sz. melléklet - ÁMK'!P11+'3. sz. melléklet - ÁMK'!P23+'3. sz. melléklet - ÁMK'!P35+'3. sz. melléklet - ÁMK'!P42+'3. sz. melléklet - ÁMK'!P53+'3. sz. melléklet - ÁMK'!P73+'3. sz. melléklet - ÁMK'!P87+'3. sz. melléklet - ÁMK'!P100+'3. sz. melléklet - ÁMK'!P113)</f>
        <v>0</v>
      </c>
      <c r="P93" s="28">
        <f>SUM('3. sz. melléklet - ÁMK'!Q11+'3. sz. melléklet - ÁMK'!Q23+'3. sz. melléklet - ÁMK'!Q35+'3. sz. melléklet - ÁMK'!Q42+'3. sz. melléklet - ÁMK'!Q53+'3. sz. melléklet - ÁMK'!Q73+'3. sz. melléklet - ÁMK'!Q87+'3. sz. melléklet - ÁMK'!Q100+'3. sz. melléklet - ÁMK'!Q113)</f>
        <v>9268</v>
      </c>
      <c r="Q93" s="28">
        <f>SUM('3. sz. melléklet - ÁMK'!R11+'3. sz. melléklet - ÁMK'!R23+'3. sz. melléklet - ÁMK'!R35+'3. sz. melléklet - ÁMK'!R42+'3. sz. melléklet - ÁMK'!R53+'3. sz. melléklet - ÁMK'!R73+'3. sz. melléklet - ÁMK'!R87+'3. sz. melléklet - ÁMK'!R100+'3. sz. melléklet - ÁMK'!R113)</f>
        <v>0</v>
      </c>
      <c r="R93" s="28">
        <f>SUM('3. sz. melléklet - ÁMK'!S11+'3. sz. melléklet - ÁMK'!S23+'3. sz. melléklet - ÁMK'!S35+'3. sz. melléklet - ÁMK'!S42+'3. sz. melléklet - ÁMK'!S53+'3. sz. melléklet - ÁMK'!S73+'3. sz. melléklet - ÁMK'!S87+'3. sz. melléklet - ÁMK'!S100+'3. sz. melléklet - ÁMK'!S113)</f>
        <v>9268</v>
      </c>
      <c r="S93" s="28">
        <f>SUM('3. sz. melléklet - ÁMK'!T11+'3. sz. melléklet - ÁMK'!T23+'3. sz. melléklet - ÁMK'!T35+'3. sz. melléklet - ÁMK'!T42+'3. sz. melléklet - ÁMK'!T53+'3. sz. melléklet - ÁMK'!T73+'3. sz. melléklet - ÁMK'!T87+'3. sz. melléklet - ÁMK'!T100+'3. sz. melléklet - ÁMK'!T113)</f>
        <v>4894</v>
      </c>
      <c r="T93" s="28">
        <f>SUM('3. sz. melléklet - ÁMK'!U11+'3. sz. melléklet - ÁMK'!U23+'3. sz. melléklet - ÁMK'!U35+'3. sz. melléklet - ÁMK'!U42+'3. sz. melléklet - ÁMK'!U53+'3. sz. melléklet - ÁMK'!U73+'3. sz. melléklet - ÁMK'!U87+'3. sz. melléklet - ÁMK'!U100+'3. sz. melléklet - ÁMK'!U113)</f>
        <v>14162</v>
      </c>
      <c r="V93" s="12"/>
    </row>
    <row r="94" spans="1:22">
      <c r="A94" s="90" t="s">
        <v>1451</v>
      </c>
      <c r="B94" s="142" t="s">
        <v>1282</v>
      </c>
      <c r="C94" s="29"/>
      <c r="D94" s="29"/>
      <c r="E94" s="29"/>
      <c r="F94" s="29"/>
      <c r="G94" s="29"/>
      <c r="H94" s="29"/>
      <c r="I94" s="29"/>
      <c r="J94" s="29"/>
      <c r="K94" s="29"/>
      <c r="L94" s="28">
        <f>SUM('3. sz. melléklet - ÁMK'!M12+'3. sz. melléklet - ÁMK'!M24+'3. sz. melléklet - ÁMK'!M36+'3. sz. melléklet - ÁMK'!M43+'3. sz. melléklet - ÁMK'!M54+'3. sz. melléklet - ÁMK'!M88+'3. sz. melléklet - ÁMK'!M101+'3. sz. melléklet - ÁMK'!M114)</f>
        <v>2627</v>
      </c>
      <c r="M94" s="28">
        <f>SUM('3. sz. melléklet - ÁMK'!N12+'3. sz. melléklet - ÁMK'!N24+'3. sz. melléklet - ÁMK'!N36+'3. sz. melléklet - ÁMK'!N43+'3. sz. melléklet - ÁMK'!N54+'3. sz. melléklet - ÁMK'!N88+'3. sz. melléklet - ÁMK'!N101+'3. sz. melléklet - ÁMK'!N114)</f>
        <v>0</v>
      </c>
      <c r="N94" s="28">
        <f>SUM('3. sz. melléklet - ÁMK'!O12+'3. sz. melléklet - ÁMK'!O24+'3. sz. melléklet - ÁMK'!O36+'3. sz. melléklet - ÁMK'!O43+'3. sz. melléklet - ÁMK'!O54+'3. sz. melléklet - ÁMK'!O88+'3. sz. melléklet - ÁMK'!O101+'3. sz. melléklet - ÁMK'!O114)</f>
        <v>2627</v>
      </c>
      <c r="O94" s="28">
        <f>SUM('3. sz. melléklet - ÁMK'!P12+'3. sz. melléklet - ÁMK'!P24+'3. sz. melléklet - ÁMK'!P36+'3. sz. melléklet - ÁMK'!P43+'3. sz. melléklet - ÁMK'!P54+'3. sz. melléklet - ÁMK'!P88+'3. sz. melléklet - ÁMK'!P101+'3. sz. melléklet - ÁMK'!P114)</f>
        <v>0</v>
      </c>
      <c r="P94" s="28">
        <f>SUM('3. sz. melléklet - ÁMK'!Q12+'3. sz. melléklet - ÁMK'!Q24+'3. sz. melléklet - ÁMK'!Q36+'3. sz. melléklet - ÁMK'!Q43+'3. sz. melléklet - ÁMK'!Q54+'3. sz. melléklet - ÁMK'!Q88+'3. sz. melléklet - ÁMK'!Q101+'3. sz. melléklet - ÁMK'!Q114)</f>
        <v>2627</v>
      </c>
      <c r="Q94" s="28">
        <f>SUM('3. sz. melléklet - ÁMK'!R12+'3. sz. melléklet - ÁMK'!R24+'3. sz. melléklet - ÁMK'!R36+'3. sz. melléklet - ÁMK'!R43+'3. sz. melléklet - ÁMK'!R54+'3. sz. melléklet - ÁMK'!R88+'3. sz. melléklet - ÁMK'!R101+'3. sz. melléklet - ÁMK'!R114)</f>
        <v>0</v>
      </c>
      <c r="R94" s="28">
        <f>SUM('3. sz. melléklet - ÁMK'!S12+'3. sz. melléklet - ÁMK'!S24+'3. sz. melléklet - ÁMK'!S36+'3. sz. melléklet - ÁMK'!S43+'3. sz. melléklet - ÁMK'!S54+'3. sz. melléklet - ÁMK'!S88+'3. sz. melléklet - ÁMK'!S101+'3. sz. melléklet - ÁMK'!S114)</f>
        <v>2627</v>
      </c>
      <c r="S94" s="28">
        <f>SUM('3. sz. melléklet - ÁMK'!T12+'3. sz. melléklet - ÁMK'!T24+'3. sz. melléklet - ÁMK'!T36+'3. sz. melléklet - ÁMK'!T43+'3. sz. melléklet - ÁMK'!T54+'3. sz. melléklet - ÁMK'!T88+'3. sz. melléklet - ÁMK'!T101+'3. sz. melléklet - ÁMK'!T114)</f>
        <v>0</v>
      </c>
      <c r="T94" s="28">
        <f>SUM('3. sz. melléklet - ÁMK'!U12+'3. sz. melléklet - ÁMK'!U24+'3. sz. melléklet - ÁMK'!U36+'3. sz. melléklet - ÁMK'!U43+'3. sz. melléklet - ÁMK'!U54+'3. sz. melléklet - ÁMK'!U88+'3. sz. melléklet - ÁMK'!U101+'3. sz. melléklet - ÁMK'!U114)</f>
        <v>2627</v>
      </c>
      <c r="V94" s="12"/>
    </row>
    <row r="95" spans="1:22">
      <c r="A95" s="90" t="s">
        <v>1548</v>
      </c>
      <c r="B95" s="101" t="s">
        <v>80</v>
      </c>
      <c r="C95" s="29"/>
      <c r="D95" s="29"/>
      <c r="E95" s="29"/>
      <c r="F95" s="29"/>
      <c r="G95" s="29"/>
      <c r="H95" s="29"/>
      <c r="I95" s="29"/>
      <c r="J95" s="29"/>
      <c r="K95" s="29"/>
      <c r="L95" s="28">
        <f>SUM('3. sz. melléklet - ÁMK'!M89)</f>
        <v>2840</v>
      </c>
      <c r="M95" s="28">
        <f>SUM('3. sz. melléklet - ÁMK'!N89)</f>
        <v>0</v>
      </c>
      <c r="N95" s="28">
        <f>SUM('3. sz. melléklet - ÁMK'!O89)</f>
        <v>2840</v>
      </c>
      <c r="O95" s="28">
        <f>SUM('3. sz. melléklet - ÁMK'!P89)</f>
        <v>0</v>
      </c>
      <c r="P95" s="28">
        <f>SUM('3. sz. melléklet - ÁMK'!Q89)</f>
        <v>2840</v>
      </c>
      <c r="Q95" s="28">
        <f>SUM('3. sz. melléklet - ÁMK'!R89)</f>
        <v>0</v>
      </c>
      <c r="R95" s="28">
        <f>SUM('3. sz. melléklet - ÁMK'!S89)</f>
        <v>2840</v>
      </c>
      <c r="S95" s="28">
        <f>SUM('3. sz. melléklet - ÁMK'!T89)</f>
        <v>0</v>
      </c>
      <c r="T95" s="28">
        <f>SUM('3. sz. melléklet - ÁMK'!U89)</f>
        <v>2840</v>
      </c>
      <c r="V95" s="12"/>
    </row>
    <row r="96" spans="1:22">
      <c r="A96" s="135"/>
      <c r="B96" s="130" t="s">
        <v>1292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V96" s="12"/>
    </row>
    <row r="97" spans="1:22">
      <c r="A97" s="90" t="s">
        <v>1433</v>
      </c>
      <c r="B97" s="142" t="s">
        <v>1293</v>
      </c>
      <c r="C97" s="28">
        <f>SUM('3. sz. melléklet - ÁMK'!D14+'3. sz. melléklet - ÁMK'!D26+'3. sz. melléklet - ÁMK'!D45+'3. sz. melléklet - ÁMK'!D68+'3. sz. melléklet - ÁMK'!D80+'3. sz. melléklet - ÁMK'!D91+'3. sz. melléklet - ÁMK'!D103+'3. sz. melléklet - ÁMK'!D117+'3. sz. melléklet - ÁMK'!D132)</f>
        <v>25001</v>
      </c>
      <c r="D97" s="28">
        <f>SUM('3. sz. melléklet - ÁMK'!E14+'3. sz. melléklet - ÁMK'!E26+'3. sz. melléklet - ÁMK'!E45+'3. sz. melléklet - ÁMK'!E68+'3. sz. melléklet - ÁMK'!E80+'3. sz. melléklet - ÁMK'!E91+'3. sz. melléklet - ÁMK'!E103+'3. sz. melléklet - ÁMK'!E117+'3. sz. melléklet - ÁMK'!E132)</f>
        <v>523</v>
      </c>
      <c r="E97" s="28">
        <f>SUM('3. sz. melléklet - ÁMK'!F14+'3. sz. melléklet - ÁMK'!F26+'3. sz. melléklet - ÁMK'!F45+'3. sz. melléklet - ÁMK'!F68+'3. sz. melléklet - ÁMK'!F80+'3. sz. melléklet - ÁMK'!F91+'3. sz. melléklet - ÁMK'!F103+'3. sz. melléklet - ÁMK'!F117+'3. sz. melléklet - ÁMK'!F132)</f>
        <v>25524</v>
      </c>
      <c r="F97" s="28">
        <f>SUM('3. sz. melléklet - ÁMK'!G14+'3. sz. melléklet - ÁMK'!G26+'3. sz. melléklet - ÁMK'!G45+'3. sz. melléklet - ÁMK'!G68+'3. sz. melléklet - ÁMK'!G80+'3. sz. melléklet - ÁMK'!G91+'3. sz. melléklet - ÁMK'!G103+'3. sz. melléklet - ÁMK'!G117+'3. sz. melléklet - ÁMK'!G132)</f>
        <v>0</v>
      </c>
      <c r="G97" s="28">
        <f>SUM('3. sz. melléklet - ÁMK'!H14+'3. sz. melléklet - ÁMK'!H26+'3. sz. melléklet - ÁMK'!H45+'3. sz. melléklet - ÁMK'!H68+'3. sz. melléklet - ÁMK'!H80+'3. sz. melléklet - ÁMK'!H91+'3. sz. melléklet - ÁMK'!H103+'3. sz. melléklet - ÁMK'!H117+'3. sz. melléklet - ÁMK'!H132)</f>
        <v>25524</v>
      </c>
      <c r="H97" s="28">
        <f>SUM('3. sz. melléklet - ÁMK'!I14+'3. sz. melléklet - ÁMK'!I26+'3. sz. melléklet - ÁMK'!I45+'3. sz. melléklet - ÁMK'!I68+'3. sz. melléklet - ÁMK'!I80+'3. sz. melléklet - ÁMK'!I91+'3. sz. melléklet - ÁMK'!I103+'3. sz. melléklet - ÁMK'!I117+'3. sz. melléklet - ÁMK'!I132)</f>
        <v>0</v>
      </c>
      <c r="I97" s="28">
        <f>SUM('3. sz. melléklet - ÁMK'!J14+'3. sz. melléklet - ÁMK'!J26+'3. sz. melléklet - ÁMK'!J45+'3. sz. melléklet - ÁMK'!J68+'3. sz. melléklet - ÁMK'!J80+'3. sz. melléklet - ÁMK'!J91+'3. sz. melléklet - ÁMK'!J103+'3. sz. melléklet - ÁMK'!J117+'3. sz. melléklet - ÁMK'!J132)</f>
        <v>25524</v>
      </c>
      <c r="J97" s="28">
        <f>SUM('3. sz. melléklet - ÁMK'!K14+'3. sz. melléklet - ÁMK'!K26+'3. sz. melléklet - ÁMK'!K45+'3. sz. melléklet - ÁMK'!K68+'3. sz. melléklet - ÁMK'!K80+'3. sz. melléklet - ÁMK'!K91+'3. sz. melléklet - ÁMK'!K103+'3. sz. melléklet - ÁMK'!K117+'3. sz. melléklet - ÁMK'!K132)</f>
        <v>3670</v>
      </c>
      <c r="K97" s="28">
        <f>SUM('3. sz. melléklet - ÁMK'!L14+'3. sz. melléklet - ÁMK'!L26+'3. sz. melléklet - ÁMK'!L45+'3. sz. melléklet - ÁMK'!L68+'3. sz. melléklet - ÁMK'!L80+'3. sz. melléklet - ÁMK'!L91+'3. sz. melléklet - ÁMK'!L103+'3. sz. melléklet - ÁMK'!L117+'3. sz. melléklet - ÁMK'!L132)</f>
        <v>29194</v>
      </c>
      <c r="L97" s="29"/>
      <c r="M97" s="29"/>
      <c r="N97" s="29"/>
      <c r="O97" s="29"/>
      <c r="P97" s="29"/>
      <c r="Q97" s="29"/>
      <c r="R97" s="29"/>
      <c r="S97" s="29"/>
      <c r="T97" s="29"/>
      <c r="V97" s="12"/>
    </row>
    <row r="98" spans="1:22">
      <c r="A98" s="90" t="s">
        <v>1434</v>
      </c>
      <c r="B98" s="101" t="s">
        <v>1435</v>
      </c>
      <c r="C98" s="28">
        <f>SUM('3. sz. melléklet - ÁMK'!D15+'3. sz. melléklet - ÁMK'!D27+'3. sz. melléklet - ÁMK'!D46+'3. sz. melléklet - ÁMK'!D69+'3. sz. melléklet - ÁMK'!D81+'3. sz. melléklet - ÁMK'!D92+'3. sz. melléklet - ÁMK'!D104+'3. sz. melléklet - ÁMK'!D118+'3. sz. melléklet - ÁMK'!D133)</f>
        <v>6720</v>
      </c>
      <c r="D98" s="28">
        <f>SUM('3. sz. melléklet - ÁMK'!E15+'3. sz. melléklet - ÁMK'!E27+'3. sz. melléklet - ÁMK'!E46+'3. sz. melléklet - ÁMK'!E69+'3. sz. melléklet - ÁMK'!E81+'3. sz. melléklet - ÁMK'!E92+'3. sz. melléklet - ÁMK'!E104+'3. sz. melléklet - ÁMK'!E118+'3. sz. melléklet - ÁMK'!E133)</f>
        <v>141</v>
      </c>
      <c r="E98" s="28">
        <f>SUM('3. sz. melléklet - ÁMK'!F15+'3. sz. melléklet - ÁMK'!F27+'3. sz. melléklet - ÁMK'!F46+'3. sz. melléklet - ÁMK'!F69+'3. sz. melléklet - ÁMK'!F81+'3. sz. melléklet - ÁMK'!F92+'3. sz. melléklet - ÁMK'!F104+'3. sz. melléklet - ÁMK'!F118+'3. sz. melléklet - ÁMK'!F133)</f>
        <v>6861</v>
      </c>
      <c r="F98" s="28">
        <f>SUM('3. sz. melléklet - ÁMK'!G15+'3. sz. melléklet - ÁMK'!G27+'3. sz. melléklet - ÁMK'!G46+'3. sz. melléklet - ÁMK'!G69+'3. sz. melléklet - ÁMK'!G81+'3. sz. melléklet - ÁMK'!G92+'3. sz. melléklet - ÁMK'!G104+'3. sz. melléklet - ÁMK'!G118+'3. sz. melléklet - ÁMK'!G133)</f>
        <v>0</v>
      </c>
      <c r="G98" s="28">
        <f>SUM('3. sz. melléklet - ÁMK'!H15+'3. sz. melléklet - ÁMK'!H27+'3. sz. melléklet - ÁMK'!H46+'3. sz. melléklet - ÁMK'!H69+'3. sz. melléklet - ÁMK'!H81+'3. sz. melléklet - ÁMK'!H92+'3. sz. melléklet - ÁMK'!H104+'3. sz. melléklet - ÁMK'!H118+'3. sz. melléklet - ÁMK'!H133)</f>
        <v>6861</v>
      </c>
      <c r="H98" s="28">
        <f>SUM('3. sz. melléklet - ÁMK'!I15+'3. sz. melléklet - ÁMK'!I27+'3. sz. melléklet - ÁMK'!I46+'3. sz. melléklet - ÁMK'!I69+'3. sz. melléklet - ÁMK'!I81+'3. sz. melléklet - ÁMK'!I92+'3. sz. melléklet - ÁMK'!I104+'3. sz. melléklet - ÁMK'!I118+'3. sz. melléklet - ÁMK'!I133)</f>
        <v>0</v>
      </c>
      <c r="I98" s="28">
        <f>SUM('3. sz. melléklet - ÁMK'!J15+'3. sz. melléklet - ÁMK'!J27+'3. sz. melléklet - ÁMK'!J46+'3. sz. melléklet - ÁMK'!J69+'3. sz. melléklet - ÁMK'!J81+'3. sz. melléklet - ÁMK'!J92+'3. sz. melléklet - ÁMK'!J104+'3. sz. melléklet - ÁMK'!J118+'3. sz. melléklet - ÁMK'!J133)</f>
        <v>6861</v>
      </c>
      <c r="J98" s="28">
        <f>SUM('3. sz. melléklet - ÁMK'!K15+'3. sz. melléklet - ÁMK'!K27+'3. sz. melléklet - ÁMK'!K46+'3. sz. melléklet - ÁMK'!K69+'3. sz. melléklet - ÁMK'!K81+'3. sz. melléklet - ÁMK'!K92+'3. sz. melléklet - ÁMK'!K104+'3. sz. melléklet - ÁMK'!K118+'3. sz. melléklet - ÁMK'!K133)</f>
        <v>878</v>
      </c>
      <c r="K98" s="28">
        <f>SUM('3. sz. melléklet - ÁMK'!L15+'3. sz. melléklet - ÁMK'!L27+'3. sz. melléklet - ÁMK'!L46+'3. sz. melléklet - ÁMK'!L69+'3. sz. melléklet - ÁMK'!L81+'3. sz. melléklet - ÁMK'!L92+'3. sz. melléklet - ÁMK'!L104+'3. sz. melléklet - ÁMK'!L118+'3. sz. melléklet - ÁMK'!L133)</f>
        <v>7739</v>
      </c>
      <c r="L98" s="29"/>
      <c r="M98" s="29"/>
      <c r="N98" s="29"/>
      <c r="O98" s="29"/>
      <c r="P98" s="29"/>
      <c r="Q98" s="29"/>
      <c r="R98" s="29"/>
      <c r="S98" s="29"/>
      <c r="T98" s="29"/>
      <c r="V98" s="12"/>
    </row>
    <row r="99" spans="1:22">
      <c r="A99" s="90" t="s">
        <v>1454</v>
      </c>
      <c r="B99" s="147" t="s">
        <v>1294</v>
      </c>
      <c r="C99" s="28">
        <f>SUM('3. sz. melléklet - ÁMK'!D16+'3. sz. melléklet - ÁMK'!D28+'3. sz. melléklet - ÁMK'!D47+'3. sz. melléklet - ÁMK'!D70+'3. sz. melléklet - ÁMK'!D93+'3. sz. melléklet - ÁMK'!D105+'3. sz. melléklet - ÁMK'!D119+'3. sz. melléklet - ÁMK'!D134)</f>
        <v>12181</v>
      </c>
      <c r="D99" s="28">
        <f>SUM('3. sz. melléklet - ÁMK'!E16+'3. sz. melléklet - ÁMK'!E28+'3. sz. melléklet - ÁMK'!E47+'3. sz. melléklet - ÁMK'!E70+'3. sz. melléklet - ÁMK'!E93+'3. sz. melléklet - ÁMK'!E105+'3. sz. melléklet - ÁMK'!E119+'3. sz. melléklet - ÁMK'!E134)</f>
        <v>767</v>
      </c>
      <c r="E99" s="28">
        <f>SUM('3. sz. melléklet - ÁMK'!F16+'3. sz. melléklet - ÁMK'!F28+'3. sz. melléklet - ÁMK'!F47+'3. sz. melléklet - ÁMK'!F70+'3. sz. melléklet - ÁMK'!F93+'3. sz. melléklet - ÁMK'!F105+'3. sz. melléklet - ÁMK'!F119+'3. sz. melléklet - ÁMK'!F134)</f>
        <v>12948</v>
      </c>
      <c r="F99" s="28">
        <f>SUM('3. sz. melléklet - ÁMK'!G16+'3. sz. melléklet - ÁMK'!G28+'3. sz. melléklet - ÁMK'!G47+'3. sz. melléklet - ÁMK'!G70+'3. sz. melléklet - ÁMK'!G93+'3. sz. melléklet - ÁMK'!G105+'3. sz. melléklet - ÁMK'!G119+'3. sz. melléklet - ÁMK'!G134)</f>
        <v>0</v>
      </c>
      <c r="G99" s="28">
        <f>SUM('3. sz. melléklet - ÁMK'!H16+'3. sz. melléklet - ÁMK'!H28+'3. sz. melléklet - ÁMK'!H47+'3. sz. melléklet - ÁMK'!H70+'3. sz. melléklet - ÁMK'!H93+'3. sz. melléklet - ÁMK'!H105+'3. sz. melléklet - ÁMK'!H119+'3. sz. melléklet - ÁMK'!H134)</f>
        <v>12948</v>
      </c>
      <c r="H99" s="28">
        <f>SUM('3. sz. melléklet - ÁMK'!I16+'3. sz. melléklet - ÁMK'!I28+'3. sz. melléklet - ÁMK'!I47+'3. sz. melléklet - ÁMK'!I70+'3. sz. melléklet - ÁMK'!I93+'3. sz. melléklet - ÁMK'!I105+'3. sz. melléklet - ÁMK'!I119+'3. sz. melléklet - ÁMK'!I134)</f>
        <v>144</v>
      </c>
      <c r="I99" s="28">
        <f>SUM('3. sz. melléklet - ÁMK'!J16+'3. sz. melléklet - ÁMK'!J28+'3. sz. melléklet - ÁMK'!J47+'3. sz. melléklet - ÁMK'!J70+'3. sz. melléklet - ÁMK'!J93+'3. sz. melléklet - ÁMK'!J105+'3. sz. melléklet - ÁMK'!J119+'3. sz. melléklet - ÁMK'!J134)</f>
        <v>13092</v>
      </c>
      <c r="J99" s="28">
        <f>SUM('3. sz. melléklet - ÁMK'!K16+'3. sz. melléklet - ÁMK'!K28+'3. sz. melléklet - ÁMK'!K47+'3. sz. melléklet - ÁMK'!K70+'3. sz. melléklet - ÁMK'!K93+'3. sz. melléklet - ÁMK'!K105+'3. sz. melléklet - ÁMK'!K119+'3. sz. melléklet - ÁMK'!K134)</f>
        <v>238</v>
      </c>
      <c r="K99" s="28">
        <f>SUM('3. sz. melléklet - ÁMK'!L16+'3. sz. melléklet - ÁMK'!L28+'3. sz. melléklet - ÁMK'!L47+'3. sz. melléklet - ÁMK'!L70+'3. sz. melléklet - ÁMK'!L93+'3. sz. melléklet - ÁMK'!L105+'3. sz. melléklet - ÁMK'!L119+'3. sz. melléklet - ÁMK'!L134)</f>
        <v>13330</v>
      </c>
      <c r="L99" s="29"/>
      <c r="M99" s="29"/>
      <c r="N99" s="29"/>
      <c r="O99" s="29"/>
      <c r="P99" s="29"/>
      <c r="Q99" s="29"/>
      <c r="R99" s="29"/>
      <c r="S99" s="29"/>
      <c r="T99" s="29"/>
      <c r="V99" s="12"/>
    </row>
    <row r="100" spans="1:22">
      <c r="A100" s="90" t="s">
        <v>1436</v>
      </c>
      <c r="B100" s="147" t="s">
        <v>1437</v>
      </c>
      <c r="C100" s="28">
        <f>SUM('3. sz. melléklet - ÁMK'!D17+'3. sz. melléklet - ÁMK'!D29+'3. sz. melléklet - ÁMK'!D48+'3. sz. melléklet - ÁMK'!D71+'3. sz. melléklet - ÁMK'!D94+'3. sz. melléklet - ÁMK'!D106+'3. sz. melléklet - ÁMK'!D120)</f>
        <v>4138</v>
      </c>
      <c r="D100" s="28">
        <f>SUM('3. sz. melléklet - ÁMK'!E17+'3. sz. melléklet - ÁMK'!E29+'3. sz. melléklet - ÁMK'!E48+'3. sz. melléklet - ÁMK'!E71+'3. sz. melléklet - ÁMK'!E94+'3. sz. melléklet - ÁMK'!E106+'3. sz. melléklet - ÁMK'!E120)</f>
        <v>0</v>
      </c>
      <c r="E100" s="28">
        <f>SUM('3. sz. melléklet - ÁMK'!F17+'3. sz. melléklet - ÁMK'!F29+'3. sz. melléklet - ÁMK'!F48+'3. sz. melléklet - ÁMK'!F71+'3. sz. melléklet - ÁMK'!F94+'3. sz. melléklet - ÁMK'!F106+'3. sz. melléklet - ÁMK'!F120)</f>
        <v>4138</v>
      </c>
      <c r="F100" s="28">
        <f>SUM('3. sz. melléklet - ÁMK'!G17+'3. sz. melléklet - ÁMK'!G29+'3. sz. melléklet - ÁMK'!G48+'3. sz. melléklet - ÁMK'!G71+'3. sz. melléklet - ÁMK'!G94+'3. sz. melléklet - ÁMK'!G106+'3. sz. melléklet - ÁMK'!G120)</f>
        <v>0</v>
      </c>
      <c r="G100" s="28">
        <f>SUM('3. sz. melléklet - ÁMK'!H17+'3. sz. melléklet - ÁMK'!H29+'3. sz. melléklet - ÁMK'!H48+'3. sz. melléklet - ÁMK'!H71+'3. sz. melléklet - ÁMK'!H94+'3. sz. melléklet - ÁMK'!H106+'3. sz. melléklet - ÁMK'!H120)</f>
        <v>4138</v>
      </c>
      <c r="H100" s="28">
        <f>SUM('3. sz. melléklet - ÁMK'!I17+'3. sz. melléklet - ÁMK'!I29+'3. sz. melléklet - ÁMK'!I48+'3. sz. melléklet - ÁMK'!I71+'3. sz. melléklet - ÁMK'!I94+'3. sz. melléklet - ÁMK'!I106+'3. sz. melléklet - ÁMK'!I120)</f>
        <v>0</v>
      </c>
      <c r="I100" s="28">
        <f>SUM('3. sz. melléklet - ÁMK'!J17+'3. sz. melléklet - ÁMK'!J29+'3. sz. melléklet - ÁMK'!J48+'3. sz. melléklet - ÁMK'!J71+'3. sz. melléklet - ÁMK'!J94+'3. sz. melléklet - ÁMK'!J106+'3. sz. melléklet - ÁMK'!J120)</f>
        <v>4138</v>
      </c>
      <c r="J100" s="28">
        <f>SUM('3. sz. melléklet - ÁMK'!K17+'3. sz. melléklet - ÁMK'!K29+'3. sz. melléklet - ÁMK'!K48+'3. sz. melléklet - ÁMK'!K71+'3. sz. melléklet - ÁMK'!K94+'3. sz. melléklet - ÁMK'!K106+'3. sz. melléklet - ÁMK'!K120)</f>
        <v>686</v>
      </c>
      <c r="K100" s="28">
        <f>SUM('3. sz. melléklet - ÁMK'!L17+'3. sz. melléklet - ÁMK'!L29+'3. sz. melléklet - ÁMK'!L48+'3. sz. melléklet - ÁMK'!L71+'3. sz. melléklet - ÁMK'!L94+'3. sz. melléklet - ÁMK'!L106+'3. sz. melléklet - ÁMK'!L120)</f>
        <v>4824</v>
      </c>
      <c r="L100" s="29"/>
      <c r="M100" s="29"/>
      <c r="N100" s="29"/>
      <c r="O100" s="29"/>
      <c r="P100" s="29"/>
      <c r="Q100" s="29"/>
      <c r="R100" s="29"/>
      <c r="S100" s="29"/>
      <c r="T100" s="29"/>
      <c r="V100" s="12"/>
    </row>
    <row r="101" spans="1:22">
      <c r="A101" s="135"/>
      <c r="B101" s="150" t="s">
        <v>1307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9"/>
      <c r="M101" s="29"/>
      <c r="N101" s="29"/>
      <c r="O101" s="29"/>
      <c r="P101" s="29"/>
      <c r="Q101" s="29"/>
      <c r="R101" s="29"/>
      <c r="S101" s="29"/>
      <c r="T101" s="29"/>
      <c r="V101" s="12"/>
    </row>
    <row r="102" spans="1:22">
      <c r="A102" s="97" t="s">
        <v>1561</v>
      </c>
      <c r="B102" s="101" t="s">
        <v>77</v>
      </c>
      <c r="C102" s="28">
        <f>SUM('3. sz. melléklet - ÁMK'!D123)</f>
        <v>0</v>
      </c>
      <c r="D102" s="28">
        <f>SUM('3. sz. melléklet - ÁMK'!E123)</f>
        <v>0</v>
      </c>
      <c r="E102" s="28">
        <f>SUM('3. sz. melléklet - ÁMK'!F123)</f>
        <v>0</v>
      </c>
      <c r="F102" s="28">
        <f>SUM('3. sz. melléklet - ÁMK'!G123)</f>
        <v>0</v>
      </c>
      <c r="G102" s="28">
        <f>SUM('3. sz. melléklet - ÁMK'!H123)</f>
        <v>0</v>
      </c>
      <c r="H102" s="28">
        <f>SUM('3. sz. melléklet - ÁMK'!I123)</f>
        <v>0</v>
      </c>
      <c r="I102" s="28">
        <f>SUM('3. sz. melléklet - ÁMK'!J123)</f>
        <v>0</v>
      </c>
      <c r="J102" s="28">
        <f>SUM('3. sz. melléklet - ÁMK'!K123)</f>
        <v>0</v>
      </c>
      <c r="K102" s="28">
        <f>SUM('3. sz. melléklet - ÁMK'!L123)</f>
        <v>0</v>
      </c>
      <c r="L102" s="29"/>
      <c r="M102" s="29"/>
      <c r="N102" s="29"/>
      <c r="O102" s="29"/>
      <c r="P102" s="29"/>
      <c r="Q102" s="29"/>
      <c r="R102" s="29"/>
      <c r="S102" s="29"/>
      <c r="T102" s="29"/>
      <c r="V102" s="12"/>
    </row>
    <row r="103" spans="1:22">
      <c r="A103" s="97" t="s">
        <v>1562</v>
      </c>
      <c r="B103" s="101" t="s">
        <v>1563</v>
      </c>
      <c r="C103" s="28">
        <f>SUM('3. sz. melléklet - ÁMK'!D124)</f>
        <v>0</v>
      </c>
      <c r="D103" s="28">
        <f>SUM('3. sz. melléklet - ÁMK'!E124)</f>
        <v>0</v>
      </c>
      <c r="E103" s="28">
        <f>SUM('3. sz. melléklet - ÁMK'!F124)</f>
        <v>0</v>
      </c>
      <c r="F103" s="28">
        <f>SUM('3. sz. melléklet - ÁMK'!G124)</f>
        <v>0</v>
      </c>
      <c r="G103" s="28">
        <f>SUM('3. sz. melléklet - ÁMK'!H124)</f>
        <v>0</v>
      </c>
      <c r="H103" s="28">
        <f>SUM('3. sz. melléklet - ÁMK'!I124)</f>
        <v>0</v>
      </c>
      <c r="I103" s="28">
        <f>SUM('3. sz. melléklet - ÁMK'!J124)</f>
        <v>0</v>
      </c>
      <c r="J103" s="28">
        <f>SUM('3. sz. melléklet - ÁMK'!K124)</f>
        <v>0</v>
      </c>
      <c r="K103" s="28">
        <f>SUM('3. sz. melléklet - ÁMK'!L124)</f>
        <v>0</v>
      </c>
      <c r="L103" s="29"/>
      <c r="M103" s="29"/>
      <c r="N103" s="29"/>
      <c r="O103" s="29"/>
      <c r="P103" s="29"/>
      <c r="Q103" s="29"/>
      <c r="R103" s="29"/>
      <c r="S103" s="29"/>
      <c r="T103" s="29"/>
      <c r="V103" s="12"/>
    </row>
    <row r="104" spans="1:22">
      <c r="A104" s="135"/>
      <c r="B104" s="150" t="s">
        <v>1304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9"/>
      <c r="M104" s="29"/>
      <c r="N104" s="29"/>
      <c r="O104" s="29"/>
      <c r="P104" s="29"/>
      <c r="Q104" s="29"/>
      <c r="R104" s="29"/>
      <c r="S104" s="29"/>
      <c r="T104" s="29"/>
      <c r="V104" s="12"/>
    </row>
    <row r="105" spans="1:22">
      <c r="A105" s="97" t="s">
        <v>1448</v>
      </c>
      <c r="B105" s="101" t="s">
        <v>1449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>
        <f>SUM('3. sz. melléklet - ÁMK'!M126)</f>
        <v>0</v>
      </c>
      <c r="M105" s="28">
        <f>SUM('3. sz. melléklet - ÁMK'!N126)</f>
        <v>0</v>
      </c>
      <c r="N105" s="28">
        <f>SUM('3. sz. melléklet - ÁMK'!O126)</f>
        <v>0</v>
      </c>
      <c r="O105" s="28">
        <f>SUM('3. sz. melléklet - ÁMK'!P126)</f>
        <v>0</v>
      </c>
      <c r="P105" s="28">
        <f>SUM('3. sz. melléklet - ÁMK'!Q126)</f>
        <v>0</v>
      </c>
      <c r="Q105" s="28">
        <f>SUM('3. sz. melléklet - ÁMK'!R126)</f>
        <v>0</v>
      </c>
      <c r="R105" s="28">
        <f>SUM('3. sz. melléklet - ÁMK'!S126)</f>
        <v>0</v>
      </c>
      <c r="S105" s="28">
        <f>SUM('3. sz. melléklet - ÁMK'!T126)</f>
        <v>0</v>
      </c>
      <c r="T105" s="28">
        <f>SUM('3. sz. melléklet - ÁMK'!U126)</f>
        <v>0</v>
      </c>
      <c r="V105" s="12"/>
    </row>
    <row r="106" spans="1:22">
      <c r="A106" s="135"/>
      <c r="B106" s="142"/>
      <c r="C106" s="28"/>
      <c r="D106" s="28"/>
      <c r="E106" s="28"/>
      <c r="F106" s="28"/>
      <c r="G106" s="28"/>
      <c r="H106" s="28"/>
      <c r="I106" s="28"/>
      <c r="J106" s="28"/>
      <c r="K106" s="28"/>
      <c r="L106" s="29"/>
      <c r="M106" s="29"/>
      <c r="N106" s="29"/>
      <c r="O106" s="29"/>
      <c r="P106" s="29"/>
      <c r="Q106" s="29"/>
      <c r="R106" s="29"/>
      <c r="S106" s="29"/>
      <c r="T106" s="29"/>
      <c r="V106" s="12"/>
    </row>
    <row r="107" spans="1:22">
      <c r="A107" s="135"/>
      <c r="B107" s="130" t="s">
        <v>1296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V107" s="12"/>
    </row>
    <row r="108" spans="1:22">
      <c r="A108" s="97" t="s">
        <v>1552</v>
      </c>
      <c r="B108" s="145" t="s">
        <v>1625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8">
        <f>SUM('3. sz. melléklet - ÁMK'!M112+'3. sz. melléklet - ÁMK'!M136)</f>
        <v>522</v>
      </c>
      <c r="M108" s="28">
        <f>SUM('3. sz. melléklet - ÁMK'!N112+'3. sz. melléklet - ÁMK'!N136)</f>
        <v>0</v>
      </c>
      <c r="N108" s="28">
        <f>SUM('3. sz. melléklet - ÁMK'!O112+'3. sz. melléklet - ÁMK'!O136)</f>
        <v>522</v>
      </c>
      <c r="O108" s="28">
        <f>SUM('3. sz. melléklet - ÁMK'!P112+'3. sz. melléklet - ÁMK'!P136)</f>
        <v>0</v>
      </c>
      <c r="P108" s="28">
        <f>SUM('3. sz. melléklet - ÁMK'!Q112+'3. sz. melléklet - ÁMK'!Q136)</f>
        <v>522</v>
      </c>
      <c r="Q108" s="28">
        <f>SUM('3. sz. melléklet - ÁMK'!R112+'3. sz. melléklet - ÁMK'!R136)</f>
        <v>0</v>
      </c>
      <c r="R108" s="28">
        <f>SUM('3. sz. melléklet - ÁMK'!S112+'3. sz. melléklet - ÁMK'!S136)</f>
        <v>522</v>
      </c>
      <c r="S108" s="28">
        <f>SUM('3. sz. melléklet - ÁMK'!T112+'3. sz. melléklet - ÁMK'!T136)</f>
        <v>819</v>
      </c>
      <c r="T108" s="28">
        <f>SUM('3. sz. melléklet - ÁMK'!U112+'3. sz. melléklet - ÁMK'!U136)</f>
        <v>1341</v>
      </c>
      <c r="V108" s="12"/>
    </row>
    <row r="109" spans="1:22">
      <c r="A109" s="97" t="s">
        <v>1445</v>
      </c>
      <c r="B109" s="98" t="s">
        <v>1298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8">
        <f>SUM('3. sz. melléklet - ÁMK'!M115)</f>
        <v>70</v>
      </c>
      <c r="M109" s="28">
        <f>SUM('3. sz. melléklet - ÁMK'!N115)</f>
        <v>0</v>
      </c>
      <c r="N109" s="28">
        <f>SUM('3. sz. melléklet - ÁMK'!O115)</f>
        <v>70</v>
      </c>
      <c r="O109" s="28">
        <f>SUM('3. sz. melléklet - ÁMK'!P115)</f>
        <v>0</v>
      </c>
      <c r="P109" s="28">
        <f>SUM('3. sz. melléklet - ÁMK'!Q115)</f>
        <v>70</v>
      </c>
      <c r="Q109" s="28">
        <f>SUM('3. sz. melléklet - ÁMK'!R115)</f>
        <v>0</v>
      </c>
      <c r="R109" s="28">
        <f>SUM('3. sz. melléklet - ÁMK'!S115)</f>
        <v>70</v>
      </c>
      <c r="S109" s="28">
        <f>SUM('3. sz. melléklet - ÁMK'!T115)</f>
        <v>-58</v>
      </c>
      <c r="T109" s="28">
        <f>SUM('3. sz. melléklet - ÁMK'!U115)</f>
        <v>12</v>
      </c>
      <c r="V109" s="12"/>
    </row>
    <row r="110" spans="1:22">
      <c r="A110" s="99" t="s">
        <v>1442</v>
      </c>
      <c r="B110" s="130" t="s">
        <v>1602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8"/>
      <c r="M110" s="28"/>
      <c r="N110" s="28"/>
      <c r="O110" s="28"/>
      <c r="P110" s="28"/>
      <c r="Q110" s="28"/>
      <c r="R110" s="28"/>
      <c r="S110" s="28"/>
      <c r="T110" s="28"/>
      <c r="V110" s="12"/>
    </row>
    <row r="111" spans="1:22" ht="19.5">
      <c r="A111" s="97" t="s">
        <v>1455</v>
      </c>
      <c r="B111" s="131" t="s">
        <v>1265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>SUM('3. sz. melléklet - ÁMK'!M60)</f>
        <v>32713</v>
      </c>
      <c r="M111" s="28">
        <f>SUM('3. sz. melléklet - ÁMK'!N60)</f>
        <v>1309</v>
      </c>
      <c r="N111" s="28">
        <f>SUM('3. sz. melléklet - ÁMK'!O60)</f>
        <v>34022</v>
      </c>
      <c r="O111" s="28">
        <f>SUM('3. sz. melléklet - ÁMK'!P60)</f>
        <v>0</v>
      </c>
      <c r="P111" s="28">
        <f>SUM('3. sz. melléklet - ÁMK'!Q60)</f>
        <v>34022</v>
      </c>
      <c r="Q111" s="28">
        <f>SUM('3. sz. melléklet - ÁMK'!R60)</f>
        <v>144</v>
      </c>
      <c r="R111" s="28">
        <f>SUM('3. sz. melléklet - ÁMK'!S60)</f>
        <v>34166</v>
      </c>
      <c r="S111" s="28">
        <f>SUM('3. sz. melléklet - ÁMK'!T60)</f>
        <v>-183</v>
      </c>
      <c r="T111" s="28">
        <f>SUM('3. sz. melléklet - ÁMK'!U60)</f>
        <v>33983</v>
      </c>
      <c r="V111" s="12"/>
    </row>
    <row r="112" spans="1:22" ht="25.5" customHeight="1">
      <c r="A112" s="97" t="s">
        <v>1438</v>
      </c>
      <c r="B112" s="131" t="s">
        <v>1604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8">
        <f>SUM('3. sz. melléklet - ÁMK'!M62)</f>
        <v>0</v>
      </c>
      <c r="M112" s="28">
        <f>SUM('3. sz. melléklet - ÁMK'!N62)</f>
        <v>122</v>
      </c>
      <c r="N112" s="28">
        <f>SUM('3. sz. melléklet - ÁMK'!O62)</f>
        <v>122</v>
      </c>
      <c r="O112" s="28">
        <f>SUM('3. sz. melléklet - ÁMK'!P62)</f>
        <v>0</v>
      </c>
      <c r="P112" s="28">
        <f>SUM('3. sz. melléklet - ÁMK'!Q62)</f>
        <v>122</v>
      </c>
      <c r="Q112" s="28">
        <f>SUM('3. sz. melléklet - ÁMK'!R62)</f>
        <v>0</v>
      </c>
      <c r="R112" s="28">
        <f>SUM('3. sz. melléklet - ÁMK'!S62)</f>
        <v>122</v>
      </c>
      <c r="S112" s="28">
        <f>SUM('3. sz. melléklet - ÁMK'!T62)</f>
        <v>0</v>
      </c>
      <c r="T112" s="28">
        <f>SUM('3. sz. melléklet - ÁMK'!U62)</f>
        <v>122</v>
      </c>
      <c r="V112" s="12"/>
    </row>
    <row r="113" spans="1:22">
      <c r="A113" s="135"/>
      <c r="B113" s="151" t="s">
        <v>1425</v>
      </c>
      <c r="C113" s="30">
        <f t="shared" ref="C113:I113" si="4">SUM(C97:C112)</f>
        <v>48040</v>
      </c>
      <c r="D113" s="30">
        <f t="shared" si="4"/>
        <v>1431</v>
      </c>
      <c r="E113" s="30">
        <f t="shared" si="4"/>
        <v>49471</v>
      </c>
      <c r="F113" s="30">
        <f t="shared" si="4"/>
        <v>0</v>
      </c>
      <c r="G113" s="30">
        <f t="shared" si="4"/>
        <v>49471</v>
      </c>
      <c r="H113" s="30">
        <f t="shared" si="4"/>
        <v>144</v>
      </c>
      <c r="I113" s="30">
        <f t="shared" si="4"/>
        <v>49615</v>
      </c>
      <c r="J113" s="30">
        <f>SUM(J97:J112)</f>
        <v>5472</v>
      </c>
      <c r="K113" s="30">
        <f>SUM(K97:K112)</f>
        <v>55087</v>
      </c>
      <c r="L113" s="30">
        <f t="shared" ref="L113:R113" si="5">SUM(L93:L112)</f>
        <v>48040</v>
      </c>
      <c r="M113" s="30">
        <f t="shared" si="5"/>
        <v>1431</v>
      </c>
      <c r="N113" s="30">
        <f t="shared" si="5"/>
        <v>49471</v>
      </c>
      <c r="O113" s="30">
        <f t="shared" si="5"/>
        <v>0</v>
      </c>
      <c r="P113" s="30">
        <f t="shared" si="5"/>
        <v>49471</v>
      </c>
      <c r="Q113" s="30">
        <f t="shared" si="5"/>
        <v>144</v>
      </c>
      <c r="R113" s="30">
        <f t="shared" si="5"/>
        <v>49615</v>
      </c>
      <c r="S113" s="30">
        <f>SUM(S93:S112)</f>
        <v>5472</v>
      </c>
      <c r="T113" s="30">
        <f>SUM(T93:T112)</f>
        <v>55087</v>
      </c>
      <c r="V113" s="12"/>
    </row>
    <row r="114" spans="1:22">
      <c r="A114" s="135"/>
      <c r="B114" s="130" t="s">
        <v>1313</v>
      </c>
      <c r="C114" s="30">
        <f>SUM('3. sz. melléklet - ÁMK'!D142)</f>
        <v>12</v>
      </c>
      <c r="D114" s="30">
        <f>SUM('3. sz. melléklet - ÁMK'!E142)</f>
        <v>0</v>
      </c>
      <c r="E114" s="30">
        <f>SUM('3. sz. melléklet - ÁMK'!F142)</f>
        <v>0</v>
      </c>
      <c r="F114" s="30">
        <f>SUM('3. sz. melléklet - ÁMK'!G142)</f>
        <v>0</v>
      </c>
      <c r="G114" s="30">
        <f>SUM('3. sz. melléklet - ÁMK'!H142)</f>
        <v>0</v>
      </c>
      <c r="H114" s="30">
        <f>SUM('3. sz. melléklet - ÁMK'!I142)</f>
        <v>0</v>
      </c>
      <c r="I114" s="30">
        <f>SUM('3. sz. melléklet - ÁMK'!J142)</f>
        <v>0</v>
      </c>
      <c r="J114" s="30">
        <f>SUM('3. sz. melléklet - ÁMK'!K142)</f>
        <v>0</v>
      </c>
      <c r="K114" s="30">
        <f>SUM('3. sz. melléklet - ÁMK'!L142)</f>
        <v>0</v>
      </c>
      <c r="L114" s="29"/>
      <c r="M114" s="29"/>
      <c r="N114" s="29"/>
      <c r="O114" s="29"/>
      <c r="P114" s="29"/>
      <c r="Q114" s="29"/>
      <c r="R114" s="29"/>
      <c r="S114" s="29"/>
      <c r="T114" s="29"/>
      <c r="V114" s="12"/>
    </row>
    <row r="115" spans="1:22" s="200" customFormat="1">
      <c r="B115" s="26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V115" s="12"/>
    </row>
    <row r="116" spans="1:22" s="200" customFormat="1">
      <c r="B116" s="26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V116" s="12"/>
    </row>
    <row r="117" spans="1:22">
      <c r="A117" s="195"/>
      <c r="B117" s="196" t="s">
        <v>1657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V117" s="12"/>
    </row>
    <row r="118" spans="1:22">
      <c r="A118" s="135"/>
      <c r="B118" s="140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V118" s="12"/>
    </row>
    <row r="119" spans="1:22">
      <c r="A119" s="135"/>
      <c r="B119" s="141" t="s">
        <v>1280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V119" s="12"/>
    </row>
    <row r="120" spans="1:22">
      <c r="A120" s="99" t="s">
        <v>1600</v>
      </c>
      <c r="B120" s="130" t="s">
        <v>1281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V120" s="12"/>
    </row>
    <row r="121" spans="1:22">
      <c r="A121" s="97" t="s">
        <v>1439</v>
      </c>
      <c r="B121" s="101" t="s">
        <v>1281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8">
        <f t="shared" ref="L121:T121" si="6">SUM(L11)</f>
        <v>15264</v>
      </c>
      <c r="M121" s="28">
        <f t="shared" si="6"/>
        <v>0</v>
      </c>
      <c r="N121" s="28">
        <f t="shared" si="6"/>
        <v>15264</v>
      </c>
      <c r="O121" s="28">
        <f t="shared" si="6"/>
        <v>0</v>
      </c>
      <c r="P121" s="28">
        <f t="shared" si="6"/>
        <v>15264</v>
      </c>
      <c r="Q121" s="28">
        <f t="shared" si="6"/>
        <v>2503</v>
      </c>
      <c r="R121" s="28">
        <f t="shared" si="6"/>
        <v>17767</v>
      </c>
      <c r="S121" s="28">
        <f t="shared" si="6"/>
        <v>-10067</v>
      </c>
      <c r="T121" s="28">
        <f t="shared" si="6"/>
        <v>7700</v>
      </c>
      <c r="V121" s="12"/>
    </row>
    <row r="122" spans="1:22">
      <c r="A122" s="97" t="s">
        <v>1451</v>
      </c>
      <c r="B122" s="142" t="s">
        <v>1282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8">
        <f t="shared" ref="L122:T122" si="7">SUM(L12)</f>
        <v>905</v>
      </c>
      <c r="M122" s="28">
        <f t="shared" si="7"/>
        <v>0</v>
      </c>
      <c r="N122" s="28">
        <f t="shared" si="7"/>
        <v>905</v>
      </c>
      <c r="O122" s="28">
        <f t="shared" si="7"/>
        <v>0</v>
      </c>
      <c r="P122" s="28">
        <f t="shared" si="7"/>
        <v>905</v>
      </c>
      <c r="Q122" s="28">
        <f t="shared" si="7"/>
        <v>0</v>
      </c>
      <c r="R122" s="28">
        <f t="shared" si="7"/>
        <v>905</v>
      </c>
      <c r="S122" s="28">
        <f t="shared" si="7"/>
        <v>0</v>
      </c>
      <c r="T122" s="28">
        <f t="shared" si="7"/>
        <v>905</v>
      </c>
      <c r="V122" s="12"/>
    </row>
    <row r="123" spans="1:22">
      <c r="A123" s="97" t="s">
        <v>1548</v>
      </c>
      <c r="B123" s="101" t="s">
        <v>1549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8">
        <f t="shared" ref="L123:T123" si="8">SUM(L13)</f>
        <v>4235</v>
      </c>
      <c r="M123" s="28">
        <f t="shared" si="8"/>
        <v>0</v>
      </c>
      <c r="N123" s="28">
        <f t="shared" si="8"/>
        <v>4235</v>
      </c>
      <c r="O123" s="28">
        <f t="shared" si="8"/>
        <v>0</v>
      </c>
      <c r="P123" s="28">
        <f t="shared" si="8"/>
        <v>4235</v>
      </c>
      <c r="Q123" s="28">
        <f t="shared" si="8"/>
        <v>0</v>
      </c>
      <c r="R123" s="28">
        <f t="shared" si="8"/>
        <v>4235</v>
      </c>
      <c r="S123" s="28">
        <f t="shared" si="8"/>
        <v>0</v>
      </c>
      <c r="T123" s="28">
        <f t="shared" si="8"/>
        <v>4235</v>
      </c>
      <c r="V123" s="12"/>
    </row>
    <row r="124" spans="1:22">
      <c r="A124" s="99" t="s">
        <v>1442</v>
      </c>
      <c r="B124" s="130" t="s">
        <v>1533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V124" s="12"/>
    </row>
    <row r="125" spans="1:22" ht="22.5">
      <c r="A125" s="97" t="s">
        <v>1642</v>
      </c>
      <c r="B125" s="143" t="s">
        <v>1643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8">
        <f t="shared" ref="L125:T125" si="9">SUM(L15)</f>
        <v>100</v>
      </c>
      <c r="M125" s="28">
        <f t="shared" si="9"/>
        <v>0</v>
      </c>
      <c r="N125" s="28">
        <f t="shared" si="9"/>
        <v>100</v>
      </c>
      <c r="O125" s="28">
        <f t="shared" si="9"/>
        <v>0</v>
      </c>
      <c r="P125" s="28">
        <f t="shared" si="9"/>
        <v>100</v>
      </c>
      <c r="Q125" s="28">
        <f t="shared" si="9"/>
        <v>0</v>
      </c>
      <c r="R125" s="28">
        <f t="shared" si="9"/>
        <v>100</v>
      </c>
      <c r="S125" s="28">
        <f t="shared" si="9"/>
        <v>0</v>
      </c>
      <c r="T125" s="28">
        <f t="shared" si="9"/>
        <v>100</v>
      </c>
      <c r="V125" s="12"/>
    </row>
    <row r="126" spans="1:22">
      <c r="A126" s="97" t="s">
        <v>1543</v>
      </c>
      <c r="B126" s="142" t="s">
        <v>1283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8">
        <f t="shared" ref="L126:T126" si="10">SUM(L16)</f>
        <v>2500</v>
      </c>
      <c r="M126" s="28">
        <f t="shared" si="10"/>
        <v>0</v>
      </c>
      <c r="N126" s="28">
        <f t="shared" si="10"/>
        <v>2500</v>
      </c>
      <c r="O126" s="28">
        <f t="shared" si="10"/>
        <v>0</v>
      </c>
      <c r="P126" s="28">
        <f t="shared" si="10"/>
        <v>2500</v>
      </c>
      <c r="Q126" s="28">
        <f t="shared" si="10"/>
        <v>0</v>
      </c>
      <c r="R126" s="28">
        <f t="shared" si="10"/>
        <v>2500</v>
      </c>
      <c r="S126" s="28">
        <f t="shared" si="10"/>
        <v>2587</v>
      </c>
      <c r="T126" s="28">
        <f t="shared" si="10"/>
        <v>5087</v>
      </c>
      <c r="V126" s="12"/>
    </row>
    <row r="127" spans="1:22">
      <c r="A127" s="97" t="s">
        <v>1543</v>
      </c>
      <c r="B127" s="142" t="s">
        <v>1284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8">
        <f t="shared" ref="L127:T127" si="11">SUM(L17)</f>
        <v>200</v>
      </c>
      <c r="M127" s="28">
        <f t="shared" si="11"/>
        <v>0</v>
      </c>
      <c r="N127" s="28">
        <f t="shared" si="11"/>
        <v>200</v>
      </c>
      <c r="O127" s="28">
        <f t="shared" si="11"/>
        <v>0</v>
      </c>
      <c r="P127" s="28">
        <f t="shared" si="11"/>
        <v>200</v>
      </c>
      <c r="Q127" s="28">
        <f t="shared" si="11"/>
        <v>0</v>
      </c>
      <c r="R127" s="28">
        <f t="shared" si="11"/>
        <v>200</v>
      </c>
      <c r="S127" s="28">
        <f t="shared" si="11"/>
        <v>1625</v>
      </c>
      <c r="T127" s="28">
        <f t="shared" si="11"/>
        <v>1825</v>
      </c>
      <c r="V127" s="12"/>
    </row>
    <row r="128" spans="1:22">
      <c r="A128" s="97" t="s">
        <v>1544</v>
      </c>
      <c r="B128" s="142" t="s">
        <v>1285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8">
        <f t="shared" ref="L128:T128" si="12">SUM(L18)</f>
        <v>25000</v>
      </c>
      <c r="M128" s="28">
        <f t="shared" si="12"/>
        <v>0</v>
      </c>
      <c r="N128" s="28">
        <f t="shared" si="12"/>
        <v>25000</v>
      </c>
      <c r="O128" s="28">
        <f t="shared" si="12"/>
        <v>0</v>
      </c>
      <c r="P128" s="28">
        <f t="shared" si="12"/>
        <v>25000</v>
      </c>
      <c r="Q128" s="28">
        <f t="shared" si="12"/>
        <v>0</v>
      </c>
      <c r="R128" s="28">
        <f t="shared" si="12"/>
        <v>25000</v>
      </c>
      <c r="S128" s="28">
        <f t="shared" si="12"/>
        <v>0</v>
      </c>
      <c r="T128" s="28">
        <f t="shared" si="12"/>
        <v>25000</v>
      </c>
      <c r="V128" s="12"/>
    </row>
    <row r="129" spans="1:22">
      <c r="A129" s="97" t="s">
        <v>1545</v>
      </c>
      <c r="B129" s="142" t="s">
        <v>1316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8">
        <f t="shared" ref="L129:T129" si="13">SUM(L19)</f>
        <v>3300</v>
      </c>
      <c r="M129" s="28">
        <f t="shared" si="13"/>
        <v>0</v>
      </c>
      <c r="N129" s="28">
        <f t="shared" si="13"/>
        <v>3300</v>
      </c>
      <c r="O129" s="28">
        <f t="shared" si="13"/>
        <v>0</v>
      </c>
      <c r="P129" s="28">
        <f t="shared" si="13"/>
        <v>3300</v>
      </c>
      <c r="Q129" s="28">
        <f t="shared" si="13"/>
        <v>0</v>
      </c>
      <c r="R129" s="28">
        <f t="shared" si="13"/>
        <v>3300</v>
      </c>
      <c r="S129" s="28">
        <f t="shared" si="13"/>
        <v>392</v>
      </c>
      <c r="T129" s="28">
        <f t="shared" si="13"/>
        <v>3692</v>
      </c>
      <c r="V129" s="12"/>
    </row>
    <row r="130" spans="1:22">
      <c r="A130" s="97" t="s">
        <v>1547</v>
      </c>
      <c r="B130" s="142" t="s">
        <v>1286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8">
        <f t="shared" ref="L130:T130" si="14">SUM(L20)</f>
        <v>400</v>
      </c>
      <c r="M130" s="28">
        <f t="shared" si="14"/>
        <v>0</v>
      </c>
      <c r="N130" s="28">
        <f t="shared" si="14"/>
        <v>400</v>
      </c>
      <c r="O130" s="28">
        <f t="shared" si="14"/>
        <v>0</v>
      </c>
      <c r="P130" s="28">
        <f t="shared" si="14"/>
        <v>400</v>
      </c>
      <c r="Q130" s="28">
        <f t="shared" si="14"/>
        <v>0</v>
      </c>
      <c r="R130" s="28">
        <f t="shared" si="14"/>
        <v>400</v>
      </c>
      <c r="S130" s="28">
        <f t="shared" si="14"/>
        <v>0</v>
      </c>
      <c r="T130" s="28">
        <f t="shared" si="14"/>
        <v>400</v>
      </c>
      <c r="V130" s="12"/>
    </row>
    <row r="131" spans="1:22">
      <c r="A131" s="97" t="s">
        <v>1546</v>
      </c>
      <c r="B131" s="101" t="s">
        <v>1644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8">
        <f t="shared" ref="L131:T131" si="15">SUM(L23)</f>
        <v>4500</v>
      </c>
      <c r="M131" s="28">
        <f t="shared" si="15"/>
        <v>0</v>
      </c>
      <c r="N131" s="28">
        <f t="shared" si="15"/>
        <v>4500</v>
      </c>
      <c r="O131" s="28">
        <f t="shared" si="15"/>
        <v>0</v>
      </c>
      <c r="P131" s="28">
        <f t="shared" si="15"/>
        <v>4500</v>
      </c>
      <c r="Q131" s="28">
        <f t="shared" si="15"/>
        <v>0</v>
      </c>
      <c r="R131" s="28">
        <f t="shared" si="15"/>
        <v>4500</v>
      </c>
      <c r="S131" s="28">
        <f t="shared" si="15"/>
        <v>0</v>
      </c>
      <c r="T131" s="28">
        <f t="shared" si="15"/>
        <v>4500</v>
      </c>
      <c r="V131" s="12"/>
    </row>
    <row r="132" spans="1:22" ht="20.25" customHeight="1">
      <c r="A132" s="99" t="s">
        <v>1655</v>
      </c>
      <c r="B132" s="96" t="s">
        <v>1430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8">
        <f>SUM('1. melléklet - Önkormányzat'!M136+'1. melléklet - Önkormányzat'!M140)</f>
        <v>48581</v>
      </c>
      <c r="M132" s="28">
        <f>SUM('1. melléklet - Önkormányzat'!N136+'1. melléklet - Önkormányzat'!N140)</f>
        <v>111292</v>
      </c>
      <c r="N132" s="28">
        <f>SUM('1. melléklet - Önkormányzat'!O136+'1. melléklet - Önkormányzat'!O140)</f>
        <v>159873</v>
      </c>
      <c r="O132" s="28">
        <f>SUM('1. melléklet - Önkormányzat'!P136+'1. melléklet - Önkormányzat'!P140)</f>
        <v>363</v>
      </c>
      <c r="P132" s="28">
        <f>SUM('1. melléklet - Önkormányzat'!Q136+'1. melléklet - Önkormányzat'!Q140)</f>
        <v>160236</v>
      </c>
      <c r="Q132" s="28">
        <f>SUM('1. melléklet - Önkormányzat'!R136+'1. melléklet - Önkormányzat'!R140)</f>
        <v>2030</v>
      </c>
      <c r="R132" s="28">
        <f>SUM('1. melléklet - Önkormányzat'!S136+'1. melléklet - Önkormányzat'!S140)</f>
        <v>162266</v>
      </c>
      <c r="S132" s="28">
        <f>SUM('1. melléklet - Önkormányzat'!T136+'1. melléklet - Önkormányzat'!T140)</f>
        <v>-2377</v>
      </c>
      <c r="T132" s="28">
        <f>SUM('1. melléklet - Önkormányzat'!U136+'1. melléklet - Önkormányzat'!U140)</f>
        <v>159889</v>
      </c>
      <c r="V132" s="12"/>
    </row>
    <row r="133" spans="1:22">
      <c r="A133" s="135"/>
      <c r="B133" s="144"/>
      <c r="C133" s="29"/>
      <c r="D133" s="29"/>
      <c r="E133" s="29"/>
      <c r="F133" s="29"/>
      <c r="G133" s="29"/>
      <c r="H133" s="29"/>
      <c r="I133" s="29"/>
      <c r="J133" s="29"/>
      <c r="K133" s="29"/>
      <c r="L133" s="28"/>
      <c r="M133" s="28"/>
      <c r="N133" s="28"/>
      <c r="O133" s="28"/>
      <c r="P133" s="28"/>
      <c r="Q133" s="28"/>
      <c r="R133" s="28"/>
      <c r="S133" s="28"/>
      <c r="T133" s="28"/>
      <c r="V133" s="12"/>
    </row>
    <row r="134" spans="1:22">
      <c r="A134" s="135"/>
      <c r="B134" s="144"/>
      <c r="C134" s="29"/>
      <c r="D134" s="29"/>
      <c r="E134" s="29"/>
      <c r="F134" s="29"/>
      <c r="G134" s="29"/>
      <c r="H134" s="29"/>
      <c r="I134" s="29"/>
      <c r="J134" s="29"/>
      <c r="K134" s="29"/>
      <c r="L134" s="28"/>
      <c r="M134" s="28"/>
      <c r="N134" s="28"/>
      <c r="O134" s="28"/>
      <c r="P134" s="28"/>
      <c r="Q134" s="28"/>
      <c r="R134" s="28"/>
      <c r="S134" s="28"/>
      <c r="T134" s="28"/>
      <c r="V134" s="12"/>
    </row>
    <row r="135" spans="1:22">
      <c r="A135" s="209" t="s">
        <v>1441</v>
      </c>
      <c r="B135" s="196" t="s">
        <v>1292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V135" s="12"/>
    </row>
    <row r="136" spans="1:22">
      <c r="A136" s="97" t="s">
        <v>1433</v>
      </c>
      <c r="B136" s="142" t="s">
        <v>1293</v>
      </c>
      <c r="C136" s="28">
        <f t="shared" ref="C136:K136" si="16">SUM(C26)</f>
        <v>40974</v>
      </c>
      <c r="D136" s="28">
        <f t="shared" si="16"/>
        <v>2153</v>
      </c>
      <c r="E136" s="28">
        <f t="shared" si="16"/>
        <v>43127</v>
      </c>
      <c r="F136" s="28">
        <f t="shared" si="16"/>
        <v>0</v>
      </c>
      <c r="G136" s="28">
        <f t="shared" si="16"/>
        <v>43127</v>
      </c>
      <c r="H136" s="28">
        <f t="shared" si="16"/>
        <v>2238</v>
      </c>
      <c r="I136" s="28">
        <f t="shared" si="16"/>
        <v>45365</v>
      </c>
      <c r="J136" s="28">
        <f t="shared" si="16"/>
        <v>0</v>
      </c>
      <c r="K136" s="28">
        <f t="shared" si="16"/>
        <v>45365</v>
      </c>
      <c r="L136" s="29"/>
      <c r="M136" s="29"/>
      <c r="N136" s="29"/>
      <c r="O136" s="29"/>
      <c r="P136" s="29"/>
      <c r="Q136" s="29"/>
      <c r="R136" s="29"/>
      <c r="S136" s="29"/>
      <c r="T136" s="29"/>
      <c r="V136" s="12"/>
    </row>
    <row r="137" spans="1:22">
      <c r="A137" s="97" t="s">
        <v>1434</v>
      </c>
      <c r="B137" s="101" t="s">
        <v>1435</v>
      </c>
      <c r="C137" s="28">
        <f t="shared" ref="C137:K137" si="17">SUM(C27)</f>
        <v>8141</v>
      </c>
      <c r="D137" s="28">
        <f t="shared" si="17"/>
        <v>291</v>
      </c>
      <c r="E137" s="28">
        <f t="shared" si="17"/>
        <v>8432</v>
      </c>
      <c r="F137" s="28">
        <f t="shared" si="17"/>
        <v>0</v>
      </c>
      <c r="G137" s="28">
        <f t="shared" si="17"/>
        <v>8432</v>
      </c>
      <c r="H137" s="28">
        <f t="shared" si="17"/>
        <v>279</v>
      </c>
      <c r="I137" s="28">
        <f t="shared" si="17"/>
        <v>8711</v>
      </c>
      <c r="J137" s="28">
        <f t="shared" si="17"/>
        <v>0</v>
      </c>
      <c r="K137" s="28">
        <f t="shared" si="17"/>
        <v>8711</v>
      </c>
      <c r="L137" s="29"/>
      <c r="M137" s="29"/>
      <c r="N137" s="29"/>
      <c r="O137" s="29"/>
      <c r="P137" s="29"/>
      <c r="Q137" s="29"/>
      <c r="R137" s="29"/>
      <c r="S137" s="29"/>
      <c r="T137" s="29"/>
      <c r="V137" s="12"/>
    </row>
    <row r="138" spans="1:22">
      <c r="A138" s="97" t="s">
        <v>1454</v>
      </c>
      <c r="B138" s="142" t="s">
        <v>1294</v>
      </c>
      <c r="C138" s="28">
        <f t="shared" ref="C138:K138" si="18">SUM(C28)</f>
        <v>11351</v>
      </c>
      <c r="D138" s="28">
        <f t="shared" si="18"/>
        <v>-1360</v>
      </c>
      <c r="E138" s="28">
        <f t="shared" si="18"/>
        <v>9991</v>
      </c>
      <c r="F138" s="28">
        <f t="shared" si="18"/>
        <v>10820</v>
      </c>
      <c r="G138" s="28">
        <f t="shared" si="18"/>
        <v>20811</v>
      </c>
      <c r="H138" s="28">
        <f t="shared" si="18"/>
        <v>18412</v>
      </c>
      <c r="I138" s="28">
        <f t="shared" si="18"/>
        <v>39223</v>
      </c>
      <c r="J138" s="28">
        <f t="shared" si="18"/>
        <v>-4081</v>
      </c>
      <c r="K138" s="28">
        <f t="shared" si="18"/>
        <v>35142</v>
      </c>
      <c r="L138" s="29"/>
      <c r="M138" s="29"/>
      <c r="N138" s="29"/>
      <c r="O138" s="29"/>
      <c r="P138" s="29"/>
      <c r="Q138" s="29"/>
      <c r="R138" s="29"/>
      <c r="S138" s="29"/>
      <c r="T138" s="29"/>
      <c r="V138" s="12"/>
    </row>
    <row r="139" spans="1:22">
      <c r="A139" s="97" t="s">
        <v>1436</v>
      </c>
      <c r="B139" s="101" t="s">
        <v>1437</v>
      </c>
      <c r="C139" s="28">
        <f t="shared" ref="C139:K139" si="19">SUM(C29)</f>
        <v>4108</v>
      </c>
      <c r="D139" s="28">
        <f t="shared" si="19"/>
        <v>16000</v>
      </c>
      <c r="E139" s="28">
        <f t="shared" si="19"/>
        <v>20108</v>
      </c>
      <c r="F139" s="28">
        <f t="shared" si="19"/>
        <v>2101</v>
      </c>
      <c r="G139" s="28">
        <f t="shared" si="19"/>
        <v>22209</v>
      </c>
      <c r="H139" s="28">
        <f t="shared" si="19"/>
        <v>0</v>
      </c>
      <c r="I139" s="28">
        <f t="shared" si="19"/>
        <v>22209</v>
      </c>
      <c r="J139" s="28">
        <f t="shared" si="19"/>
        <v>995</v>
      </c>
      <c r="K139" s="28">
        <f t="shared" si="19"/>
        <v>23204</v>
      </c>
      <c r="L139" s="29"/>
      <c r="M139" s="29"/>
      <c r="N139" s="29"/>
      <c r="O139" s="29"/>
      <c r="P139" s="29"/>
      <c r="Q139" s="29"/>
      <c r="R139" s="29"/>
      <c r="S139" s="29"/>
      <c r="T139" s="29"/>
      <c r="V139" s="12"/>
    </row>
    <row r="140" spans="1:22">
      <c r="A140" s="97" t="s">
        <v>1580</v>
      </c>
      <c r="B140" s="101" t="s">
        <v>1595</v>
      </c>
      <c r="C140" s="28">
        <f t="shared" ref="C140:K140" si="20">SUM(C30)</f>
        <v>853</v>
      </c>
      <c r="D140" s="28">
        <f t="shared" si="20"/>
        <v>0</v>
      </c>
      <c r="E140" s="28">
        <f t="shared" si="20"/>
        <v>853</v>
      </c>
      <c r="F140" s="28">
        <f t="shared" si="20"/>
        <v>0</v>
      </c>
      <c r="G140" s="28">
        <f t="shared" si="20"/>
        <v>853</v>
      </c>
      <c r="H140" s="28">
        <f t="shared" si="20"/>
        <v>0</v>
      </c>
      <c r="I140" s="28">
        <f t="shared" si="20"/>
        <v>853</v>
      </c>
      <c r="J140" s="28">
        <f t="shared" si="20"/>
        <v>591</v>
      </c>
      <c r="K140" s="28">
        <f t="shared" si="20"/>
        <v>1444</v>
      </c>
      <c r="L140" s="29"/>
      <c r="M140" s="29"/>
      <c r="N140" s="29"/>
      <c r="O140" s="29"/>
      <c r="P140" s="29"/>
      <c r="Q140" s="29"/>
      <c r="R140" s="29"/>
      <c r="S140" s="29"/>
      <c r="T140" s="29"/>
      <c r="V140" s="12"/>
    </row>
    <row r="141" spans="1:22">
      <c r="A141" s="99" t="s">
        <v>1442</v>
      </c>
      <c r="B141" s="130" t="s">
        <v>1611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V141" s="12"/>
    </row>
    <row r="142" spans="1:22">
      <c r="A142" s="97" t="s">
        <v>1552</v>
      </c>
      <c r="B142" s="145" t="s">
        <v>1553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8">
        <f t="shared" ref="L142:T142" si="21">SUM(L32)</f>
        <v>36556</v>
      </c>
      <c r="M142" s="28">
        <f t="shared" si="21"/>
        <v>2566</v>
      </c>
      <c r="N142" s="28">
        <f t="shared" si="21"/>
        <v>39122</v>
      </c>
      <c r="O142" s="28">
        <f t="shared" si="21"/>
        <v>0</v>
      </c>
      <c r="P142" s="28">
        <f t="shared" si="21"/>
        <v>39122</v>
      </c>
      <c r="Q142" s="28">
        <f t="shared" si="21"/>
        <v>0</v>
      </c>
      <c r="R142" s="28">
        <f t="shared" si="21"/>
        <v>39122</v>
      </c>
      <c r="S142" s="28">
        <f t="shared" si="21"/>
        <v>4797</v>
      </c>
      <c r="T142" s="28">
        <f t="shared" si="21"/>
        <v>43919</v>
      </c>
      <c r="V142" s="12"/>
    </row>
    <row r="143" spans="1:22">
      <c r="A143" s="97" t="s">
        <v>1623</v>
      </c>
      <c r="B143" s="98" t="s">
        <v>1297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>
        <f t="shared" ref="L143:T143" si="22">SUM(L33)</f>
        <v>0</v>
      </c>
      <c r="M143" s="28">
        <f t="shared" si="22"/>
        <v>0</v>
      </c>
      <c r="N143" s="28">
        <f t="shared" si="22"/>
        <v>0</v>
      </c>
      <c r="O143" s="28">
        <f t="shared" si="22"/>
        <v>0</v>
      </c>
      <c r="P143" s="28">
        <f t="shared" si="22"/>
        <v>0</v>
      </c>
      <c r="Q143" s="28">
        <f t="shared" si="22"/>
        <v>0</v>
      </c>
      <c r="R143" s="28">
        <f t="shared" si="22"/>
        <v>0</v>
      </c>
      <c r="S143" s="28">
        <f t="shared" si="22"/>
        <v>0</v>
      </c>
      <c r="T143" s="28">
        <f t="shared" si="22"/>
        <v>0</v>
      </c>
      <c r="V143" s="12"/>
    </row>
    <row r="144" spans="1:22">
      <c r="A144" s="99" t="s">
        <v>1442</v>
      </c>
      <c r="B144" s="100" t="s">
        <v>1612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V144" s="12"/>
    </row>
    <row r="145" spans="1:22">
      <c r="A145" s="97" t="s">
        <v>1613</v>
      </c>
      <c r="B145" s="101" t="s">
        <v>1606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>
        <f t="shared" ref="L145:R145" si="23">SUM(L35)</f>
        <v>0</v>
      </c>
      <c r="M145" s="29">
        <f t="shared" si="23"/>
        <v>0</v>
      </c>
      <c r="N145" s="29">
        <f t="shared" si="23"/>
        <v>0</v>
      </c>
      <c r="O145" s="29">
        <f t="shared" si="23"/>
        <v>0</v>
      </c>
      <c r="P145" s="29">
        <f t="shared" si="23"/>
        <v>0</v>
      </c>
      <c r="Q145" s="29">
        <f t="shared" si="23"/>
        <v>0</v>
      </c>
      <c r="R145" s="29">
        <f t="shared" si="23"/>
        <v>0</v>
      </c>
      <c r="S145" s="29">
        <f>SUM(S35)</f>
        <v>20</v>
      </c>
      <c r="T145" s="29">
        <f>SUM(T35)</f>
        <v>20</v>
      </c>
      <c r="V145" s="12"/>
    </row>
    <row r="146" spans="1:22">
      <c r="A146" s="99" t="s">
        <v>1441</v>
      </c>
      <c r="B146" s="130" t="s">
        <v>1610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V146" s="12"/>
    </row>
    <row r="147" spans="1:22">
      <c r="A147" s="97" t="s">
        <v>1259</v>
      </c>
      <c r="B147" s="98" t="s">
        <v>1608</v>
      </c>
      <c r="C147" s="28">
        <f t="shared" ref="C147:I147" si="24">SUM(C37)</f>
        <v>18856</v>
      </c>
      <c r="D147" s="28">
        <f t="shared" si="24"/>
        <v>3851</v>
      </c>
      <c r="E147" s="28">
        <f t="shared" si="24"/>
        <v>22707</v>
      </c>
      <c r="F147" s="28">
        <f t="shared" si="24"/>
        <v>-13437</v>
      </c>
      <c r="G147" s="28">
        <f t="shared" si="24"/>
        <v>9270</v>
      </c>
      <c r="H147" s="28">
        <f t="shared" si="24"/>
        <v>14049</v>
      </c>
      <c r="I147" s="28">
        <f t="shared" si="24"/>
        <v>23319</v>
      </c>
      <c r="J147" s="28">
        <f>SUM(J37)</f>
        <v>5447</v>
      </c>
      <c r="K147" s="28">
        <f>SUM(K37)</f>
        <v>28766</v>
      </c>
      <c r="L147" s="29"/>
      <c r="M147" s="29"/>
      <c r="N147" s="29"/>
      <c r="O147" s="29"/>
      <c r="P147" s="29"/>
      <c r="Q147" s="29"/>
      <c r="R147" s="29"/>
      <c r="S147" s="29"/>
      <c r="T147" s="29"/>
      <c r="V147" s="12"/>
    </row>
    <row r="148" spans="1:22">
      <c r="A148" s="97" t="s">
        <v>1585</v>
      </c>
      <c r="B148" s="98" t="s">
        <v>1609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9"/>
      <c r="M148" s="29"/>
      <c r="N148" s="29"/>
      <c r="O148" s="29"/>
      <c r="P148" s="29"/>
      <c r="Q148" s="29"/>
      <c r="R148" s="29"/>
      <c r="S148" s="29"/>
      <c r="T148" s="29"/>
      <c r="V148" s="12"/>
    </row>
    <row r="149" spans="1:22">
      <c r="A149" s="97" t="s">
        <v>1556</v>
      </c>
      <c r="B149" s="98" t="s">
        <v>1299</v>
      </c>
      <c r="C149" s="28">
        <f t="shared" ref="C149:I149" si="25">SUM(C38)</f>
        <v>960</v>
      </c>
      <c r="D149" s="28">
        <f t="shared" si="25"/>
        <v>0</v>
      </c>
      <c r="E149" s="28">
        <f t="shared" si="25"/>
        <v>960</v>
      </c>
      <c r="F149" s="28">
        <f t="shared" si="25"/>
        <v>789</v>
      </c>
      <c r="G149" s="28">
        <f t="shared" si="25"/>
        <v>1749</v>
      </c>
      <c r="H149" s="28">
        <f t="shared" si="25"/>
        <v>0</v>
      </c>
      <c r="I149" s="28">
        <f t="shared" si="25"/>
        <v>1749</v>
      </c>
      <c r="J149" s="28">
        <f>SUM(J38)</f>
        <v>22</v>
      </c>
      <c r="K149" s="28">
        <f>SUM(K38)</f>
        <v>1771</v>
      </c>
      <c r="L149" s="29"/>
      <c r="M149" s="29"/>
      <c r="N149" s="29"/>
      <c r="O149" s="29"/>
      <c r="P149" s="29"/>
      <c r="Q149" s="29"/>
      <c r="R149" s="29"/>
      <c r="S149" s="29"/>
      <c r="T149" s="29"/>
      <c r="V149" s="12"/>
    </row>
    <row r="150" spans="1:22">
      <c r="A150" s="99" t="s">
        <v>1614</v>
      </c>
      <c r="B150" s="96" t="s">
        <v>1300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>
        <f t="shared" ref="L150:R150" si="26">SUM(L40)</f>
        <v>0</v>
      </c>
      <c r="M150" s="28">
        <f t="shared" si="26"/>
        <v>0</v>
      </c>
      <c r="N150" s="28">
        <f t="shared" si="26"/>
        <v>0</v>
      </c>
      <c r="O150" s="28">
        <f t="shared" si="26"/>
        <v>0</v>
      </c>
      <c r="P150" s="28">
        <f t="shared" si="26"/>
        <v>0</v>
      </c>
      <c r="Q150" s="28">
        <f t="shared" si="26"/>
        <v>0</v>
      </c>
      <c r="R150" s="28">
        <f t="shared" si="26"/>
        <v>0</v>
      </c>
      <c r="S150" s="28">
        <f>SUM(S40)</f>
        <v>0</v>
      </c>
      <c r="T150" s="28">
        <f>SUM(T40)</f>
        <v>0</v>
      </c>
      <c r="V150" s="12"/>
    </row>
    <row r="151" spans="1:22">
      <c r="A151" s="99" t="s">
        <v>1568</v>
      </c>
      <c r="B151" s="130" t="s">
        <v>1301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V151" s="12"/>
    </row>
    <row r="152" spans="1:22" ht="29.25">
      <c r="A152" s="97" t="s">
        <v>1557</v>
      </c>
      <c r="B152" s="131" t="s">
        <v>1607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>
        <f t="shared" ref="L152:R152" si="27">SUM(L42)</f>
        <v>15721</v>
      </c>
      <c r="M152" s="28">
        <f t="shared" si="27"/>
        <v>-5235</v>
      </c>
      <c r="N152" s="28">
        <f t="shared" si="27"/>
        <v>10486</v>
      </c>
      <c r="O152" s="28">
        <f t="shared" si="27"/>
        <v>0</v>
      </c>
      <c r="P152" s="28">
        <f t="shared" si="27"/>
        <v>10486</v>
      </c>
      <c r="Q152" s="28">
        <f t="shared" si="27"/>
        <v>0</v>
      </c>
      <c r="R152" s="28">
        <f t="shared" si="27"/>
        <v>10486</v>
      </c>
      <c r="S152" s="28">
        <f>SUM(S42)</f>
        <v>0</v>
      </c>
      <c r="T152" s="28">
        <f>SUM(T42)</f>
        <v>10486</v>
      </c>
      <c r="V152" s="12"/>
    </row>
    <row r="153" spans="1:22">
      <c r="A153" s="209" t="s">
        <v>1442</v>
      </c>
      <c r="B153" s="196" t="s">
        <v>1304</v>
      </c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V153" s="12"/>
    </row>
    <row r="154" spans="1:22">
      <c r="A154" s="97" t="s">
        <v>1448</v>
      </c>
      <c r="B154" s="98" t="s">
        <v>1449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8">
        <f t="shared" ref="L154:T154" si="28">SUM(L45)</f>
        <v>36274</v>
      </c>
      <c r="M154" s="28">
        <f t="shared" si="28"/>
        <v>0</v>
      </c>
      <c r="N154" s="28">
        <f t="shared" si="28"/>
        <v>36274</v>
      </c>
      <c r="O154" s="28">
        <f t="shared" si="28"/>
        <v>80321</v>
      </c>
      <c r="P154" s="28">
        <f t="shared" si="28"/>
        <v>116595</v>
      </c>
      <c r="Q154" s="28">
        <f t="shared" si="28"/>
        <v>54</v>
      </c>
      <c r="R154" s="28">
        <f t="shared" si="28"/>
        <v>116649</v>
      </c>
      <c r="S154" s="28">
        <f t="shared" si="28"/>
        <v>0</v>
      </c>
      <c r="T154" s="28">
        <f t="shared" si="28"/>
        <v>116649</v>
      </c>
      <c r="V154" s="12"/>
    </row>
    <row r="155" spans="1:22">
      <c r="A155" s="97" t="s">
        <v>1446</v>
      </c>
      <c r="B155" s="98" t="s">
        <v>1617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8">
        <f t="shared" ref="L155:T155" si="29">SUM(L46)</f>
        <v>0</v>
      </c>
      <c r="M155" s="28">
        <f t="shared" si="29"/>
        <v>0</v>
      </c>
      <c r="N155" s="28">
        <f t="shared" si="29"/>
        <v>0</v>
      </c>
      <c r="O155" s="28">
        <f t="shared" si="29"/>
        <v>0</v>
      </c>
      <c r="P155" s="28">
        <f t="shared" si="29"/>
        <v>0</v>
      </c>
      <c r="Q155" s="28">
        <f t="shared" si="29"/>
        <v>0</v>
      </c>
      <c r="R155" s="28">
        <f t="shared" si="29"/>
        <v>0</v>
      </c>
      <c r="S155" s="28">
        <f t="shared" si="29"/>
        <v>0</v>
      </c>
      <c r="T155" s="28">
        <f t="shared" si="29"/>
        <v>0</v>
      </c>
      <c r="V155" s="12"/>
    </row>
    <row r="156" spans="1:22">
      <c r="A156" s="97" t="s">
        <v>1551</v>
      </c>
      <c r="B156" s="98" t="s">
        <v>1305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8">
        <f t="shared" ref="L156:T156" si="30">SUM(L47)</f>
        <v>84768</v>
      </c>
      <c r="M156" s="28">
        <f t="shared" si="30"/>
        <v>-84768</v>
      </c>
      <c r="N156" s="28">
        <f t="shared" si="30"/>
        <v>0</v>
      </c>
      <c r="O156" s="28">
        <f t="shared" si="30"/>
        <v>0</v>
      </c>
      <c r="P156" s="28">
        <f t="shared" si="30"/>
        <v>0</v>
      </c>
      <c r="Q156" s="28">
        <f t="shared" si="30"/>
        <v>0</v>
      </c>
      <c r="R156" s="28">
        <f t="shared" si="30"/>
        <v>0</v>
      </c>
      <c r="S156" s="28">
        <f t="shared" si="30"/>
        <v>0</v>
      </c>
      <c r="T156" s="28">
        <f t="shared" si="30"/>
        <v>0</v>
      </c>
      <c r="V156" s="12"/>
    </row>
    <row r="157" spans="1:22">
      <c r="A157" s="97" t="s">
        <v>1551</v>
      </c>
      <c r="B157" s="98" t="s">
        <v>1306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>
        <f t="shared" ref="L157:T157" si="31">SUM(L48)</f>
        <v>6000</v>
      </c>
      <c r="M157" s="29">
        <f t="shared" si="31"/>
        <v>-6000</v>
      </c>
      <c r="N157" s="29">
        <f t="shared" si="31"/>
        <v>0</v>
      </c>
      <c r="O157" s="29">
        <f t="shared" si="31"/>
        <v>0</v>
      </c>
      <c r="P157" s="29">
        <f t="shared" si="31"/>
        <v>0</v>
      </c>
      <c r="Q157" s="29">
        <f t="shared" si="31"/>
        <v>0</v>
      </c>
      <c r="R157" s="29">
        <f t="shared" si="31"/>
        <v>0</v>
      </c>
      <c r="S157" s="29">
        <f t="shared" si="31"/>
        <v>0</v>
      </c>
      <c r="T157" s="29">
        <f t="shared" si="31"/>
        <v>0</v>
      </c>
      <c r="V157" s="12"/>
    </row>
    <row r="158" spans="1:22">
      <c r="A158" s="90" t="s">
        <v>1245</v>
      </c>
      <c r="B158" s="178" t="s">
        <v>1244</v>
      </c>
      <c r="C158" s="272"/>
      <c r="D158" s="272"/>
      <c r="E158" s="272"/>
      <c r="F158" s="272"/>
      <c r="G158" s="272"/>
      <c r="H158" s="272"/>
      <c r="I158" s="272"/>
      <c r="J158" s="272"/>
      <c r="K158" s="272"/>
      <c r="L158" s="28">
        <f t="shared" ref="L158:T158" si="32">SUM(L50)</f>
        <v>9209</v>
      </c>
      <c r="M158" s="28">
        <f t="shared" si="32"/>
        <v>0</v>
      </c>
      <c r="N158" s="28">
        <f t="shared" si="32"/>
        <v>9209</v>
      </c>
      <c r="O158" s="28">
        <f t="shared" si="32"/>
        <v>0</v>
      </c>
      <c r="P158" s="28">
        <f t="shared" si="32"/>
        <v>9209</v>
      </c>
      <c r="Q158" s="28">
        <f t="shared" si="32"/>
        <v>0</v>
      </c>
      <c r="R158" s="28">
        <f t="shared" si="32"/>
        <v>9209</v>
      </c>
      <c r="S158" s="28">
        <f t="shared" si="32"/>
        <v>6693</v>
      </c>
      <c r="T158" s="28">
        <f t="shared" si="32"/>
        <v>15902</v>
      </c>
      <c r="V158" s="12"/>
    </row>
    <row r="159" spans="1:22">
      <c r="A159" s="97" t="s">
        <v>1591</v>
      </c>
      <c r="B159" s="146" t="s">
        <v>1418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8">
        <f t="shared" ref="L159:T159" si="33">SUM(L51)</f>
        <v>3463</v>
      </c>
      <c r="M159" s="28">
        <f t="shared" si="33"/>
        <v>0</v>
      </c>
      <c r="N159" s="28">
        <f t="shared" si="33"/>
        <v>3463</v>
      </c>
      <c r="O159" s="28">
        <f t="shared" si="33"/>
        <v>0</v>
      </c>
      <c r="P159" s="28">
        <f t="shared" si="33"/>
        <v>3463</v>
      </c>
      <c r="Q159" s="28">
        <f t="shared" si="33"/>
        <v>0</v>
      </c>
      <c r="R159" s="28">
        <f t="shared" si="33"/>
        <v>3463</v>
      </c>
      <c r="S159" s="28">
        <f t="shared" si="33"/>
        <v>0</v>
      </c>
      <c r="T159" s="28">
        <f t="shared" si="33"/>
        <v>3463</v>
      </c>
      <c r="V159" s="12"/>
    </row>
    <row r="160" spans="1:22">
      <c r="A160" s="209" t="s">
        <v>1618</v>
      </c>
      <c r="B160" s="196" t="s">
        <v>1307</v>
      </c>
      <c r="C160" s="197"/>
      <c r="D160" s="197"/>
      <c r="E160" s="197"/>
      <c r="F160" s="197"/>
      <c r="G160" s="197"/>
      <c r="H160" s="197"/>
      <c r="I160" s="197"/>
      <c r="J160" s="197"/>
      <c r="K160" s="197"/>
      <c r="L160" s="191"/>
      <c r="M160" s="191"/>
      <c r="N160" s="191"/>
      <c r="O160" s="191"/>
      <c r="P160" s="191"/>
      <c r="Q160" s="191"/>
      <c r="R160" s="191"/>
      <c r="S160" s="191"/>
      <c r="T160" s="191"/>
      <c r="V160" s="12"/>
    </row>
    <row r="161" spans="1:22">
      <c r="A161" s="97" t="s">
        <v>1561</v>
      </c>
      <c r="B161" s="98" t="s">
        <v>1619</v>
      </c>
      <c r="C161" s="28">
        <f t="shared" ref="C161:K161" si="34">SUM(C53)</f>
        <v>2413</v>
      </c>
      <c r="D161" s="28">
        <f t="shared" si="34"/>
        <v>0</v>
      </c>
      <c r="E161" s="28">
        <f t="shared" si="34"/>
        <v>2413</v>
      </c>
      <c r="F161" s="28">
        <f t="shared" si="34"/>
        <v>0</v>
      </c>
      <c r="G161" s="28">
        <f t="shared" si="34"/>
        <v>2413</v>
      </c>
      <c r="H161" s="28">
        <f t="shared" si="34"/>
        <v>-917</v>
      </c>
      <c r="I161" s="28">
        <f t="shared" si="34"/>
        <v>1496</v>
      </c>
      <c r="J161" s="28">
        <f t="shared" si="34"/>
        <v>1</v>
      </c>
      <c r="K161" s="28">
        <f t="shared" si="34"/>
        <v>1497</v>
      </c>
      <c r="L161" s="29"/>
      <c r="M161" s="29"/>
      <c r="N161" s="29"/>
      <c r="O161" s="29"/>
      <c r="P161" s="29"/>
      <c r="Q161" s="29"/>
      <c r="R161" s="29"/>
      <c r="S161" s="29"/>
      <c r="T161" s="29"/>
      <c r="V161" s="12"/>
    </row>
    <row r="162" spans="1:22">
      <c r="A162" s="97" t="s">
        <v>1562</v>
      </c>
      <c r="B162" s="98" t="s">
        <v>1620</v>
      </c>
      <c r="C162" s="28">
        <f t="shared" ref="C162:K162" si="35">SUM(C54)</f>
        <v>0</v>
      </c>
      <c r="D162" s="28">
        <f t="shared" si="35"/>
        <v>0</v>
      </c>
      <c r="E162" s="28">
        <f t="shared" si="35"/>
        <v>0</v>
      </c>
      <c r="F162" s="28">
        <f t="shared" si="35"/>
        <v>0</v>
      </c>
      <c r="G162" s="28">
        <f t="shared" si="35"/>
        <v>0</v>
      </c>
      <c r="H162" s="28">
        <f t="shared" si="35"/>
        <v>0</v>
      </c>
      <c r="I162" s="28">
        <f t="shared" si="35"/>
        <v>0</v>
      </c>
      <c r="J162" s="28">
        <f t="shared" si="35"/>
        <v>0</v>
      </c>
      <c r="K162" s="28">
        <f t="shared" si="35"/>
        <v>0</v>
      </c>
      <c r="L162" s="29"/>
      <c r="M162" s="29"/>
      <c r="N162" s="29"/>
      <c r="O162" s="29"/>
      <c r="P162" s="29"/>
      <c r="Q162" s="29"/>
      <c r="R162" s="29"/>
      <c r="S162" s="29"/>
      <c r="T162" s="29"/>
      <c r="V162" s="12"/>
    </row>
    <row r="163" spans="1:22">
      <c r="A163" s="97" t="s">
        <v>1564</v>
      </c>
      <c r="B163" s="98" t="s">
        <v>1621</v>
      </c>
      <c r="C163" s="28">
        <f t="shared" ref="C163:K163" si="36">SUM(C55)</f>
        <v>0</v>
      </c>
      <c r="D163" s="28">
        <f t="shared" si="36"/>
        <v>0</v>
      </c>
      <c r="E163" s="28">
        <f t="shared" si="36"/>
        <v>0</v>
      </c>
      <c r="F163" s="28">
        <f t="shared" si="36"/>
        <v>0</v>
      </c>
      <c r="G163" s="28">
        <f t="shared" si="36"/>
        <v>0</v>
      </c>
      <c r="H163" s="28">
        <f t="shared" si="36"/>
        <v>0</v>
      </c>
      <c r="I163" s="28">
        <f t="shared" si="36"/>
        <v>0</v>
      </c>
      <c r="J163" s="28">
        <f t="shared" si="36"/>
        <v>0</v>
      </c>
      <c r="K163" s="28">
        <f t="shared" si="36"/>
        <v>0</v>
      </c>
      <c r="L163" s="29"/>
      <c r="M163" s="29"/>
      <c r="N163" s="29"/>
      <c r="O163" s="29"/>
      <c r="P163" s="29"/>
      <c r="Q163" s="29"/>
      <c r="R163" s="29"/>
      <c r="S163" s="29"/>
      <c r="T163" s="29"/>
      <c r="V163" s="12"/>
    </row>
    <row r="164" spans="1:22">
      <c r="A164" s="97" t="s">
        <v>1592</v>
      </c>
      <c r="B164" s="146" t="s">
        <v>1418</v>
      </c>
      <c r="C164" s="28">
        <f t="shared" ref="C164:K164" si="37">SUM(C56)</f>
        <v>3463</v>
      </c>
      <c r="D164" s="28">
        <f t="shared" si="37"/>
        <v>0</v>
      </c>
      <c r="E164" s="28">
        <f t="shared" si="37"/>
        <v>3463</v>
      </c>
      <c r="F164" s="28">
        <f t="shared" si="37"/>
        <v>0</v>
      </c>
      <c r="G164" s="28">
        <f t="shared" si="37"/>
        <v>3463</v>
      </c>
      <c r="H164" s="28">
        <f t="shared" si="37"/>
        <v>-864</v>
      </c>
      <c r="I164" s="28">
        <f t="shared" si="37"/>
        <v>2599</v>
      </c>
      <c r="J164" s="28">
        <f t="shared" si="37"/>
        <v>864</v>
      </c>
      <c r="K164" s="28">
        <f t="shared" si="37"/>
        <v>3463</v>
      </c>
      <c r="L164" s="29"/>
      <c r="M164" s="29"/>
      <c r="N164" s="29"/>
      <c r="O164" s="29"/>
      <c r="P164" s="29"/>
      <c r="Q164" s="29"/>
      <c r="R164" s="29"/>
      <c r="S164" s="29"/>
      <c r="T164" s="29"/>
      <c r="V164" s="12"/>
    </row>
    <row r="165" spans="1:22">
      <c r="A165" s="99" t="s">
        <v>1442</v>
      </c>
      <c r="B165" s="130" t="s">
        <v>1311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9"/>
      <c r="M165" s="29"/>
      <c r="N165" s="29"/>
      <c r="O165" s="29"/>
      <c r="P165" s="29"/>
      <c r="Q165" s="29"/>
      <c r="R165" s="29"/>
      <c r="S165" s="29"/>
      <c r="T165" s="29"/>
      <c r="V165" s="12"/>
    </row>
    <row r="166" spans="1:22">
      <c r="A166" s="97" t="s">
        <v>1573</v>
      </c>
      <c r="B166" s="98" t="s">
        <v>1622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>
        <f t="shared" ref="L166:T166" si="38">SUM(L58)</f>
        <v>3135</v>
      </c>
      <c r="M166" s="28">
        <f t="shared" si="38"/>
        <v>0</v>
      </c>
      <c r="N166" s="28">
        <f t="shared" si="38"/>
        <v>3135</v>
      </c>
      <c r="O166" s="28">
        <f t="shared" si="38"/>
        <v>0</v>
      </c>
      <c r="P166" s="28">
        <f t="shared" si="38"/>
        <v>3135</v>
      </c>
      <c r="Q166" s="28">
        <f t="shared" si="38"/>
        <v>0</v>
      </c>
      <c r="R166" s="28">
        <f t="shared" si="38"/>
        <v>3135</v>
      </c>
      <c r="S166" s="28">
        <f t="shared" si="38"/>
        <v>0</v>
      </c>
      <c r="T166" s="28">
        <f t="shared" si="38"/>
        <v>3135</v>
      </c>
      <c r="V166" s="12"/>
    </row>
    <row r="167" spans="1:22">
      <c r="A167" s="97" t="s">
        <v>1572</v>
      </c>
      <c r="B167" s="98" t="s">
        <v>1527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>
        <f t="shared" ref="L167:T167" si="39">SUM(L59)</f>
        <v>0</v>
      </c>
      <c r="M167" s="28">
        <f t="shared" si="39"/>
        <v>0</v>
      </c>
      <c r="N167" s="28">
        <f t="shared" si="39"/>
        <v>0</v>
      </c>
      <c r="O167" s="28">
        <f t="shared" si="39"/>
        <v>0</v>
      </c>
      <c r="P167" s="28">
        <f t="shared" si="39"/>
        <v>0</v>
      </c>
      <c r="Q167" s="28">
        <f t="shared" si="39"/>
        <v>0</v>
      </c>
      <c r="R167" s="28">
        <f t="shared" si="39"/>
        <v>0</v>
      </c>
      <c r="S167" s="28">
        <f t="shared" si="39"/>
        <v>0</v>
      </c>
      <c r="T167" s="28">
        <f t="shared" si="39"/>
        <v>0</v>
      </c>
      <c r="V167" s="12"/>
    </row>
    <row r="168" spans="1:22">
      <c r="A168" s="99" t="s">
        <v>1441</v>
      </c>
      <c r="B168" s="100" t="s">
        <v>1525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V168" s="12"/>
    </row>
    <row r="169" spans="1:22">
      <c r="A169" s="97" t="s">
        <v>1571</v>
      </c>
      <c r="B169" s="98" t="s">
        <v>1528</v>
      </c>
      <c r="C169" s="28">
        <f t="shared" ref="C169:I169" si="40">SUM(C61+C62)</f>
        <v>127116</v>
      </c>
      <c r="D169" s="28">
        <f t="shared" si="40"/>
        <v>-14518</v>
      </c>
      <c r="E169" s="28">
        <f t="shared" si="40"/>
        <v>112598</v>
      </c>
      <c r="F169" s="28">
        <f t="shared" si="40"/>
        <v>0</v>
      </c>
      <c r="G169" s="28">
        <f t="shared" si="40"/>
        <v>112598</v>
      </c>
      <c r="H169" s="28">
        <f t="shared" si="40"/>
        <v>0</v>
      </c>
      <c r="I169" s="28">
        <f t="shared" si="40"/>
        <v>112598</v>
      </c>
      <c r="J169" s="28">
        <f>SUM(J61+J62)</f>
        <v>-207</v>
      </c>
      <c r="K169" s="28">
        <f>SUM(K61+K62)</f>
        <v>112391</v>
      </c>
      <c r="L169" s="29"/>
      <c r="M169" s="29"/>
      <c r="N169" s="29"/>
      <c r="O169" s="29"/>
      <c r="P169" s="29"/>
      <c r="Q169" s="29"/>
      <c r="R169" s="29"/>
      <c r="S169" s="29"/>
      <c r="T169" s="29"/>
      <c r="V169" s="12"/>
    </row>
    <row r="170" spans="1:22">
      <c r="A170" s="97" t="s">
        <v>1570</v>
      </c>
      <c r="B170" s="147" t="s">
        <v>1529</v>
      </c>
      <c r="C170" s="28">
        <f t="shared" ref="C170:I170" si="41">SUM(C64)</f>
        <v>2206</v>
      </c>
      <c r="D170" s="28">
        <f t="shared" si="41"/>
        <v>10774</v>
      </c>
      <c r="E170" s="28">
        <f t="shared" si="41"/>
        <v>12980</v>
      </c>
      <c r="F170" s="28">
        <f t="shared" si="41"/>
        <v>0</v>
      </c>
      <c r="G170" s="28">
        <f t="shared" si="41"/>
        <v>12980</v>
      </c>
      <c r="H170" s="28">
        <f t="shared" si="41"/>
        <v>0</v>
      </c>
      <c r="I170" s="28">
        <f t="shared" si="41"/>
        <v>12980</v>
      </c>
      <c r="J170" s="28">
        <f>SUM(J64)</f>
        <v>3135</v>
      </c>
      <c r="K170" s="28">
        <f>SUM(K64)</f>
        <v>16115</v>
      </c>
      <c r="L170" s="28"/>
      <c r="M170" s="28"/>
      <c r="N170" s="28"/>
      <c r="O170" s="28"/>
      <c r="P170" s="28"/>
      <c r="Q170" s="28"/>
      <c r="R170" s="28"/>
      <c r="S170" s="28"/>
      <c r="T170" s="28"/>
      <c r="V170" s="12"/>
    </row>
    <row r="171" spans="1:22">
      <c r="A171" s="99" t="s">
        <v>1441</v>
      </c>
      <c r="B171" s="96" t="s">
        <v>1312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V171" s="12"/>
    </row>
    <row r="172" spans="1:22">
      <c r="A172" s="97" t="s">
        <v>1566</v>
      </c>
      <c r="B172" s="98" t="s">
        <v>1567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V172" s="12"/>
    </row>
    <row r="173" spans="1:22">
      <c r="A173" s="135"/>
      <c r="B173" s="142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V173" s="12"/>
    </row>
    <row r="174" spans="1:22">
      <c r="A174" s="195"/>
      <c r="B174" s="207" t="s">
        <v>1426</v>
      </c>
      <c r="C174" s="205">
        <f t="shared" ref="C174:K174" si="42">SUM(C68+C87+C113)</f>
        <v>364997</v>
      </c>
      <c r="D174" s="205">
        <f t="shared" si="42"/>
        <v>19341</v>
      </c>
      <c r="E174" s="205">
        <f t="shared" si="42"/>
        <v>384338</v>
      </c>
      <c r="F174" s="205">
        <f t="shared" si="42"/>
        <v>363</v>
      </c>
      <c r="G174" s="205">
        <f t="shared" si="42"/>
        <v>384701</v>
      </c>
      <c r="H174" s="205">
        <f t="shared" si="42"/>
        <v>5314</v>
      </c>
      <c r="I174" s="205">
        <f t="shared" si="42"/>
        <v>390015</v>
      </c>
      <c r="J174" s="205">
        <f t="shared" si="42"/>
        <v>12394</v>
      </c>
      <c r="K174" s="205">
        <f t="shared" si="42"/>
        <v>402409</v>
      </c>
      <c r="L174" s="197"/>
      <c r="M174" s="197"/>
      <c r="N174" s="197"/>
      <c r="O174" s="197"/>
      <c r="P174" s="197"/>
      <c r="Q174" s="197"/>
      <c r="R174" s="197"/>
      <c r="S174" s="197"/>
      <c r="T174" s="197"/>
      <c r="V174" s="12"/>
    </row>
    <row r="175" spans="1:22">
      <c r="A175" s="195"/>
      <c r="B175" s="207" t="s">
        <v>1327</v>
      </c>
      <c r="C175" s="197"/>
      <c r="D175" s="197"/>
      <c r="E175" s="197"/>
      <c r="F175" s="197"/>
      <c r="G175" s="197"/>
      <c r="H175" s="197"/>
      <c r="I175" s="197"/>
      <c r="J175" s="197"/>
      <c r="K175" s="197"/>
      <c r="L175" s="205">
        <f t="shared" ref="L175:T175" si="43">SUM(L68+L87+L113)</f>
        <v>364997</v>
      </c>
      <c r="M175" s="205">
        <f t="shared" si="43"/>
        <v>19341</v>
      </c>
      <c r="N175" s="205">
        <f t="shared" si="43"/>
        <v>384338</v>
      </c>
      <c r="O175" s="205">
        <f t="shared" si="43"/>
        <v>363</v>
      </c>
      <c r="P175" s="205">
        <f t="shared" si="43"/>
        <v>384701</v>
      </c>
      <c r="Q175" s="205">
        <f t="shared" si="43"/>
        <v>5314</v>
      </c>
      <c r="R175" s="205">
        <f t="shared" si="43"/>
        <v>390015</v>
      </c>
      <c r="S175" s="205">
        <f t="shared" si="43"/>
        <v>12394</v>
      </c>
      <c r="T175" s="205">
        <f t="shared" si="43"/>
        <v>402409</v>
      </c>
      <c r="V175" s="12"/>
    </row>
    <row r="176" spans="1:22">
      <c r="A176" s="135"/>
      <c r="B176" s="148" t="s">
        <v>1427</v>
      </c>
      <c r="C176" s="30">
        <f t="shared" ref="C176:T176" si="44">SUM(C87+C113)</f>
        <v>64886</v>
      </c>
      <c r="D176" s="30">
        <f t="shared" si="44"/>
        <v>1486</v>
      </c>
      <c r="E176" s="30">
        <f t="shared" si="44"/>
        <v>66372</v>
      </c>
      <c r="F176" s="30">
        <f t="shared" si="44"/>
        <v>0</v>
      </c>
      <c r="G176" s="30">
        <f t="shared" si="44"/>
        <v>66372</v>
      </c>
      <c r="H176" s="30">
        <f t="shared" si="44"/>
        <v>781</v>
      </c>
      <c r="I176" s="30">
        <f t="shared" si="44"/>
        <v>67153</v>
      </c>
      <c r="J176" s="30">
        <f t="shared" si="44"/>
        <v>7599</v>
      </c>
      <c r="K176" s="30">
        <f t="shared" si="44"/>
        <v>74752</v>
      </c>
      <c r="L176" s="30">
        <f t="shared" si="44"/>
        <v>64886</v>
      </c>
      <c r="M176" s="30">
        <f t="shared" si="44"/>
        <v>1486</v>
      </c>
      <c r="N176" s="30">
        <f t="shared" si="44"/>
        <v>66372</v>
      </c>
      <c r="O176" s="30">
        <f t="shared" si="44"/>
        <v>0</v>
      </c>
      <c r="P176" s="30">
        <f t="shared" si="44"/>
        <v>66372</v>
      </c>
      <c r="Q176" s="30">
        <f t="shared" si="44"/>
        <v>781</v>
      </c>
      <c r="R176" s="30">
        <f t="shared" si="44"/>
        <v>67153</v>
      </c>
      <c r="S176" s="30">
        <f t="shared" si="44"/>
        <v>7599</v>
      </c>
      <c r="T176" s="30">
        <f t="shared" si="44"/>
        <v>74752</v>
      </c>
      <c r="V176" s="12"/>
    </row>
    <row r="177" spans="1:22">
      <c r="A177" s="195"/>
      <c r="B177" s="207" t="s">
        <v>1328</v>
      </c>
      <c r="C177" s="205">
        <f t="shared" ref="C177:I177" si="45">SUM(C174-C176)</f>
        <v>300111</v>
      </c>
      <c r="D177" s="205">
        <f t="shared" si="45"/>
        <v>17855</v>
      </c>
      <c r="E177" s="205">
        <f t="shared" si="45"/>
        <v>317966</v>
      </c>
      <c r="F177" s="205">
        <f t="shared" si="45"/>
        <v>363</v>
      </c>
      <c r="G177" s="205">
        <f t="shared" si="45"/>
        <v>318329</v>
      </c>
      <c r="H177" s="205">
        <f t="shared" si="45"/>
        <v>4533</v>
      </c>
      <c r="I177" s="205">
        <f t="shared" si="45"/>
        <v>322862</v>
      </c>
      <c r="J177" s="205">
        <f>SUM(J174-J176)</f>
        <v>4795</v>
      </c>
      <c r="K177" s="205">
        <f>SUM(K174-K176)</f>
        <v>327657</v>
      </c>
      <c r="L177" s="197"/>
      <c r="M177" s="197"/>
      <c r="N177" s="197"/>
      <c r="O177" s="197"/>
      <c r="P177" s="197"/>
      <c r="Q177" s="197"/>
      <c r="R177" s="197"/>
      <c r="S177" s="197"/>
      <c r="T177" s="197"/>
      <c r="V177" s="12"/>
    </row>
    <row r="178" spans="1:22">
      <c r="A178" s="195"/>
      <c r="B178" s="208" t="s">
        <v>1329</v>
      </c>
      <c r="C178" s="197"/>
      <c r="D178" s="197"/>
      <c r="E178" s="197"/>
      <c r="F178" s="197"/>
      <c r="G178" s="197"/>
      <c r="H178" s="197"/>
      <c r="I178" s="197"/>
      <c r="J178" s="197"/>
      <c r="K178" s="197"/>
      <c r="L178" s="205">
        <f t="shared" ref="L178:R178" si="46">SUM(L175-L176)</f>
        <v>300111</v>
      </c>
      <c r="M178" s="205">
        <f t="shared" si="46"/>
        <v>17855</v>
      </c>
      <c r="N178" s="205">
        <f t="shared" si="46"/>
        <v>317966</v>
      </c>
      <c r="O178" s="205">
        <f t="shared" si="46"/>
        <v>363</v>
      </c>
      <c r="P178" s="205">
        <f>SUM(P175-P176)</f>
        <v>318329</v>
      </c>
      <c r="Q178" s="205">
        <f t="shared" si="46"/>
        <v>4533</v>
      </c>
      <c r="R178" s="205">
        <f t="shared" si="46"/>
        <v>322862</v>
      </c>
      <c r="S178" s="205">
        <f>SUM(S175-S176)</f>
        <v>4795</v>
      </c>
      <c r="T178" s="205">
        <f>SUM(T175-T176)</f>
        <v>327657</v>
      </c>
      <c r="V178" s="12"/>
    </row>
    <row r="179" spans="1:22">
      <c r="A179" s="135"/>
      <c r="B179" s="149" t="s">
        <v>1428</v>
      </c>
      <c r="C179" s="30">
        <f t="shared" ref="C179:K179" si="47">SUM(C69+C88+C114)</f>
        <v>18</v>
      </c>
      <c r="D179" s="30">
        <f t="shared" si="47"/>
        <v>1</v>
      </c>
      <c r="E179" s="30">
        <f t="shared" si="47"/>
        <v>2</v>
      </c>
      <c r="F179" s="30">
        <f t="shared" si="47"/>
        <v>0</v>
      </c>
      <c r="G179" s="30">
        <f t="shared" si="47"/>
        <v>2</v>
      </c>
      <c r="H179" s="30">
        <f t="shared" si="47"/>
        <v>0</v>
      </c>
      <c r="I179" s="30">
        <f t="shared" si="47"/>
        <v>2</v>
      </c>
      <c r="J179" s="30">
        <f t="shared" si="47"/>
        <v>0</v>
      </c>
      <c r="K179" s="30">
        <f t="shared" si="47"/>
        <v>2</v>
      </c>
      <c r="L179" s="29"/>
      <c r="M179" s="29"/>
      <c r="N179" s="29"/>
      <c r="O179" s="29"/>
      <c r="P179" s="29"/>
      <c r="Q179" s="29"/>
      <c r="R179" s="29"/>
      <c r="S179" s="29"/>
      <c r="T179" s="29"/>
      <c r="V179" s="12"/>
    </row>
    <row r="180" spans="1:22">
      <c r="A180" s="135"/>
      <c r="B180" s="149" t="s">
        <v>1429</v>
      </c>
      <c r="C180" s="30">
        <f t="shared" ref="C180:I180" si="48">SUM(C70)</f>
        <v>69</v>
      </c>
      <c r="D180" s="30">
        <f t="shared" si="48"/>
        <v>0</v>
      </c>
      <c r="E180" s="30">
        <f t="shared" si="48"/>
        <v>69</v>
      </c>
      <c r="F180" s="30">
        <f t="shared" si="48"/>
        <v>0</v>
      </c>
      <c r="G180" s="30">
        <f t="shared" si="48"/>
        <v>69</v>
      </c>
      <c r="H180" s="30">
        <f t="shared" si="48"/>
        <v>0</v>
      </c>
      <c r="I180" s="30">
        <f t="shared" si="48"/>
        <v>69</v>
      </c>
      <c r="J180" s="30">
        <f>SUM(J70)</f>
        <v>0</v>
      </c>
      <c r="K180" s="30">
        <f>SUM(K70)</f>
        <v>69</v>
      </c>
      <c r="L180" s="29"/>
      <c r="M180" s="29"/>
      <c r="N180" s="29"/>
      <c r="O180" s="29"/>
      <c r="P180" s="29"/>
      <c r="Q180" s="29"/>
      <c r="R180" s="29"/>
      <c r="S180" s="29"/>
      <c r="T180" s="29"/>
      <c r="V180" s="12"/>
    </row>
    <row r="181" spans="1:22" ht="23.25" customHeight="1">
      <c r="A181" s="1"/>
      <c r="L181" s="3"/>
      <c r="M181" s="3"/>
      <c r="N181" s="3"/>
      <c r="O181" s="3"/>
      <c r="P181" s="3"/>
      <c r="Q181" s="3"/>
      <c r="R181" s="3"/>
      <c r="S181" s="3"/>
      <c r="T181" s="3"/>
      <c r="V181" s="12"/>
    </row>
    <row r="182" spans="1:22" ht="23.25" customHeight="1">
      <c r="A182" s="210" t="s">
        <v>1656</v>
      </c>
      <c r="V182" s="12"/>
    </row>
    <row r="183" spans="1:22" ht="33.75">
      <c r="A183" s="195"/>
      <c r="B183" s="198" t="s">
        <v>1408</v>
      </c>
      <c r="C183" s="199" t="s">
        <v>1278</v>
      </c>
      <c r="D183" s="199" t="s">
        <v>696</v>
      </c>
      <c r="E183" s="199" t="s">
        <v>698</v>
      </c>
      <c r="F183" s="237" t="s">
        <v>696</v>
      </c>
      <c r="G183" s="199" t="s">
        <v>698</v>
      </c>
      <c r="H183" s="237" t="s">
        <v>696</v>
      </c>
      <c r="I183" s="199" t="s">
        <v>698</v>
      </c>
      <c r="J183" s="237" t="s">
        <v>696</v>
      </c>
      <c r="K183" s="199" t="s">
        <v>698</v>
      </c>
      <c r="L183" s="199" t="s">
        <v>1278</v>
      </c>
      <c r="M183" s="199" t="s">
        <v>696</v>
      </c>
      <c r="N183" s="199" t="s">
        <v>697</v>
      </c>
      <c r="O183" s="199" t="s">
        <v>697</v>
      </c>
      <c r="P183" s="199" t="s">
        <v>697</v>
      </c>
      <c r="Q183" s="199" t="s">
        <v>697</v>
      </c>
      <c r="R183" s="199" t="s">
        <v>697</v>
      </c>
      <c r="S183" s="199" t="s">
        <v>697</v>
      </c>
      <c r="T183" s="199" t="s">
        <v>697</v>
      </c>
      <c r="V183" s="12"/>
    </row>
    <row r="184" spans="1:22">
      <c r="A184" s="97" t="s">
        <v>1433</v>
      </c>
      <c r="B184" s="137" t="s">
        <v>1411</v>
      </c>
      <c r="C184" s="28">
        <f t="shared" ref="C184:K184" si="49">SUM(C26+C79+C97)</f>
        <v>74395</v>
      </c>
      <c r="D184" s="28">
        <f t="shared" si="49"/>
        <v>2676</v>
      </c>
      <c r="E184" s="28">
        <f t="shared" si="49"/>
        <v>77071</v>
      </c>
      <c r="F184" s="28">
        <f t="shared" si="49"/>
        <v>0</v>
      </c>
      <c r="G184" s="28">
        <f t="shared" si="49"/>
        <v>77071</v>
      </c>
      <c r="H184" s="28">
        <f t="shared" si="49"/>
        <v>2255</v>
      </c>
      <c r="I184" s="28">
        <f t="shared" si="49"/>
        <v>79326</v>
      </c>
      <c r="J184" s="28">
        <f t="shared" si="49"/>
        <v>4924</v>
      </c>
      <c r="K184" s="28">
        <f t="shared" si="49"/>
        <v>84250</v>
      </c>
      <c r="L184" s="28"/>
      <c r="M184" s="28"/>
      <c r="N184" s="28"/>
      <c r="O184" s="28"/>
      <c r="P184" s="28"/>
      <c r="Q184" s="28"/>
      <c r="R184" s="28"/>
      <c r="S184" s="28"/>
      <c r="T184" s="28"/>
      <c r="V184" s="12"/>
    </row>
    <row r="185" spans="1:22">
      <c r="A185" s="97" t="s">
        <v>1434</v>
      </c>
      <c r="B185" s="101" t="s">
        <v>1435</v>
      </c>
      <c r="C185" s="28">
        <f t="shared" ref="C185:K185" si="50">SUM(C27+C80+C98)</f>
        <v>17107</v>
      </c>
      <c r="D185" s="28">
        <f t="shared" si="50"/>
        <v>432</v>
      </c>
      <c r="E185" s="28">
        <f t="shared" si="50"/>
        <v>17539</v>
      </c>
      <c r="F185" s="28">
        <f t="shared" si="50"/>
        <v>0</v>
      </c>
      <c r="G185" s="28">
        <f t="shared" si="50"/>
        <v>17539</v>
      </c>
      <c r="H185" s="28">
        <f t="shared" si="50"/>
        <v>416</v>
      </c>
      <c r="I185" s="28">
        <f t="shared" si="50"/>
        <v>17955</v>
      </c>
      <c r="J185" s="28">
        <f t="shared" si="50"/>
        <v>1116</v>
      </c>
      <c r="K185" s="28">
        <f t="shared" si="50"/>
        <v>19071</v>
      </c>
      <c r="L185" s="28"/>
      <c r="M185" s="28"/>
      <c r="N185" s="28"/>
      <c r="O185" s="28"/>
      <c r="P185" s="28"/>
      <c r="Q185" s="28"/>
      <c r="R185" s="28"/>
      <c r="S185" s="28"/>
      <c r="T185" s="28"/>
      <c r="V185" s="12"/>
    </row>
    <row r="186" spans="1:22">
      <c r="A186" s="97" t="s">
        <v>1535</v>
      </c>
      <c r="B186" s="137" t="s">
        <v>1626</v>
      </c>
      <c r="C186" s="28">
        <f t="shared" ref="C186:K186" si="51">SUM(C28+C29+C81+C82+C99+C100)</f>
        <v>37958</v>
      </c>
      <c r="D186" s="28">
        <f t="shared" si="51"/>
        <v>15462</v>
      </c>
      <c r="E186" s="28">
        <f t="shared" si="51"/>
        <v>53420</v>
      </c>
      <c r="F186" s="28">
        <f t="shared" si="51"/>
        <v>12921</v>
      </c>
      <c r="G186" s="28">
        <f t="shared" si="51"/>
        <v>66341</v>
      </c>
      <c r="H186" s="28">
        <f t="shared" si="51"/>
        <v>19039</v>
      </c>
      <c r="I186" s="28">
        <f t="shared" si="51"/>
        <v>85380</v>
      </c>
      <c r="J186" s="28">
        <f t="shared" si="51"/>
        <v>-1527</v>
      </c>
      <c r="K186" s="28">
        <f t="shared" si="51"/>
        <v>83853</v>
      </c>
      <c r="L186" s="28"/>
      <c r="M186" s="28"/>
      <c r="N186" s="28"/>
      <c r="O186" s="28"/>
      <c r="P186" s="28"/>
      <c r="Q186" s="28"/>
      <c r="R186" s="28"/>
      <c r="S186" s="28"/>
      <c r="T186" s="28"/>
      <c r="V186" s="12"/>
    </row>
    <row r="187" spans="1:22">
      <c r="A187" s="97" t="s">
        <v>1259</v>
      </c>
      <c r="B187" s="137" t="s">
        <v>1555</v>
      </c>
      <c r="C187" s="28">
        <f t="shared" ref="C187:K187" si="52">SUM(C37)</f>
        <v>18856</v>
      </c>
      <c r="D187" s="28">
        <f t="shared" si="52"/>
        <v>3851</v>
      </c>
      <c r="E187" s="28">
        <f t="shared" si="52"/>
        <v>22707</v>
      </c>
      <c r="F187" s="28">
        <f t="shared" si="52"/>
        <v>-13437</v>
      </c>
      <c r="G187" s="28">
        <f t="shared" si="52"/>
        <v>9270</v>
      </c>
      <c r="H187" s="28">
        <f t="shared" si="52"/>
        <v>14049</v>
      </c>
      <c r="I187" s="28">
        <f t="shared" si="52"/>
        <v>23319</v>
      </c>
      <c r="J187" s="28">
        <f t="shared" si="52"/>
        <v>5447</v>
      </c>
      <c r="K187" s="28">
        <f t="shared" si="52"/>
        <v>28766</v>
      </c>
      <c r="L187" s="28"/>
      <c r="M187" s="28"/>
      <c r="N187" s="28"/>
      <c r="O187" s="28"/>
      <c r="P187" s="28"/>
      <c r="Q187" s="28"/>
      <c r="R187" s="28"/>
      <c r="S187" s="28"/>
      <c r="T187" s="28"/>
      <c r="V187" s="12"/>
    </row>
    <row r="188" spans="1:22">
      <c r="A188" s="97" t="s">
        <v>1585</v>
      </c>
      <c r="B188" s="137" t="s">
        <v>1586</v>
      </c>
      <c r="C188" s="28">
        <f t="shared" ref="C188:K188" si="53">SUM(C38)</f>
        <v>960</v>
      </c>
      <c r="D188" s="28">
        <f t="shared" si="53"/>
        <v>0</v>
      </c>
      <c r="E188" s="28">
        <f t="shared" si="53"/>
        <v>960</v>
      </c>
      <c r="F188" s="28">
        <f t="shared" si="53"/>
        <v>789</v>
      </c>
      <c r="G188" s="28">
        <f t="shared" si="53"/>
        <v>1749</v>
      </c>
      <c r="H188" s="28">
        <f t="shared" si="53"/>
        <v>0</v>
      </c>
      <c r="I188" s="28">
        <f t="shared" si="53"/>
        <v>1749</v>
      </c>
      <c r="J188" s="28">
        <f t="shared" si="53"/>
        <v>22</v>
      </c>
      <c r="K188" s="28">
        <f t="shared" si="53"/>
        <v>1771</v>
      </c>
      <c r="L188" s="28"/>
      <c r="M188" s="28"/>
      <c r="N188" s="28"/>
      <c r="O188" s="28"/>
      <c r="P188" s="28"/>
      <c r="Q188" s="28"/>
      <c r="R188" s="28"/>
      <c r="S188" s="28"/>
      <c r="T188" s="28"/>
      <c r="V188" s="12"/>
    </row>
    <row r="189" spans="1:22">
      <c r="A189" s="97" t="s">
        <v>1594</v>
      </c>
      <c r="B189" s="137" t="s">
        <v>1595</v>
      </c>
      <c r="C189" s="28">
        <f t="shared" ref="C189:I189" si="54">SUM(C30)</f>
        <v>853</v>
      </c>
      <c r="D189" s="28">
        <f t="shared" si="54"/>
        <v>0</v>
      </c>
      <c r="E189" s="28">
        <f t="shared" si="54"/>
        <v>853</v>
      </c>
      <c r="F189" s="28">
        <f t="shared" si="54"/>
        <v>0</v>
      </c>
      <c r="G189" s="28">
        <f t="shared" si="54"/>
        <v>853</v>
      </c>
      <c r="H189" s="28">
        <f t="shared" si="54"/>
        <v>0</v>
      </c>
      <c r="I189" s="28">
        <f t="shared" si="54"/>
        <v>853</v>
      </c>
      <c r="J189" s="28">
        <f>SUM(J30)</f>
        <v>591</v>
      </c>
      <c r="K189" s="28">
        <f>SUM(K30)</f>
        <v>1444</v>
      </c>
      <c r="L189" s="28"/>
      <c r="M189" s="28"/>
      <c r="N189" s="28"/>
      <c r="O189" s="28"/>
      <c r="P189" s="28"/>
      <c r="Q189" s="28"/>
      <c r="R189" s="28"/>
      <c r="S189" s="28"/>
      <c r="T189" s="28"/>
      <c r="V189" s="12"/>
    </row>
    <row r="190" spans="1:22">
      <c r="A190" s="97" t="s">
        <v>1596</v>
      </c>
      <c r="B190" s="137" t="s">
        <v>1307</v>
      </c>
      <c r="C190" s="28">
        <f t="shared" ref="C190:I190" si="55">SUM(C53+C54+C55)</f>
        <v>2413</v>
      </c>
      <c r="D190" s="28">
        <f t="shared" si="55"/>
        <v>0</v>
      </c>
      <c r="E190" s="28">
        <f t="shared" si="55"/>
        <v>2413</v>
      </c>
      <c r="F190" s="28">
        <f t="shared" si="55"/>
        <v>0</v>
      </c>
      <c r="G190" s="28">
        <f t="shared" si="55"/>
        <v>2413</v>
      </c>
      <c r="H190" s="28">
        <f t="shared" si="55"/>
        <v>-917</v>
      </c>
      <c r="I190" s="28">
        <f t="shared" si="55"/>
        <v>1496</v>
      </c>
      <c r="J190" s="28">
        <f>SUM(J53+J54+J55)</f>
        <v>1</v>
      </c>
      <c r="K190" s="28">
        <f>SUM(K53+K54+K55)</f>
        <v>1497</v>
      </c>
      <c r="L190" s="28"/>
      <c r="M190" s="28"/>
      <c r="N190" s="28"/>
      <c r="O190" s="28"/>
      <c r="P190" s="28"/>
      <c r="Q190" s="28"/>
      <c r="R190" s="28"/>
      <c r="S190" s="28"/>
      <c r="T190" s="28"/>
      <c r="V190" s="12"/>
    </row>
    <row r="191" spans="1:22">
      <c r="A191" s="97" t="s">
        <v>1269</v>
      </c>
      <c r="B191" s="138" t="s">
        <v>1628</v>
      </c>
      <c r="C191" s="28">
        <f t="shared" ref="C191:I191" si="56">SUM(C61+C62+C63)</f>
        <v>130251</v>
      </c>
      <c r="D191" s="28">
        <f t="shared" si="56"/>
        <v>-14518</v>
      </c>
      <c r="E191" s="28">
        <f t="shared" si="56"/>
        <v>115733</v>
      </c>
      <c r="F191" s="28">
        <f t="shared" si="56"/>
        <v>0</v>
      </c>
      <c r="G191" s="28">
        <f t="shared" si="56"/>
        <v>115733</v>
      </c>
      <c r="H191" s="28">
        <f t="shared" si="56"/>
        <v>0</v>
      </c>
      <c r="I191" s="28">
        <f t="shared" si="56"/>
        <v>115733</v>
      </c>
      <c r="J191" s="28">
        <f>SUM(J61+J62+J63)</f>
        <v>-3342</v>
      </c>
      <c r="K191" s="28">
        <f>SUM(K61+K62+K63)</f>
        <v>112391</v>
      </c>
      <c r="L191" s="28"/>
      <c r="M191" s="28"/>
      <c r="N191" s="28"/>
      <c r="O191" s="28"/>
      <c r="P191" s="28"/>
      <c r="Q191" s="28"/>
      <c r="R191" s="28"/>
      <c r="S191" s="28"/>
      <c r="T191" s="28"/>
      <c r="V191" s="12"/>
    </row>
    <row r="192" spans="1:22">
      <c r="A192" s="97" t="s">
        <v>1570</v>
      </c>
      <c r="B192" s="138" t="s">
        <v>1627</v>
      </c>
      <c r="C192" s="28">
        <f t="shared" ref="C192:I192" si="57">SUM(C64)</f>
        <v>2206</v>
      </c>
      <c r="D192" s="28">
        <f t="shared" si="57"/>
        <v>10774</v>
      </c>
      <c r="E192" s="28">
        <f t="shared" si="57"/>
        <v>12980</v>
      </c>
      <c r="F192" s="28">
        <f t="shared" si="57"/>
        <v>0</v>
      </c>
      <c r="G192" s="28">
        <f t="shared" si="57"/>
        <v>12980</v>
      </c>
      <c r="H192" s="28">
        <f t="shared" si="57"/>
        <v>0</v>
      </c>
      <c r="I192" s="28">
        <f t="shared" si="57"/>
        <v>12980</v>
      </c>
      <c r="J192" s="28">
        <f>SUM(J64)</f>
        <v>3135</v>
      </c>
      <c r="K192" s="28">
        <f>SUM(K64)</f>
        <v>16115</v>
      </c>
      <c r="L192" s="28"/>
      <c r="M192" s="28"/>
      <c r="N192" s="28"/>
      <c r="O192" s="28"/>
      <c r="P192" s="28"/>
      <c r="Q192" s="28"/>
      <c r="R192" s="28"/>
      <c r="S192" s="28"/>
      <c r="T192" s="28"/>
      <c r="V192" s="12"/>
    </row>
    <row r="193" spans="1:22">
      <c r="A193" s="97" t="s">
        <v>1592</v>
      </c>
      <c r="B193" s="138" t="s">
        <v>1417</v>
      </c>
      <c r="C193" s="28">
        <f t="shared" ref="C193:I193" si="58">SUM(C56)</f>
        <v>3463</v>
      </c>
      <c r="D193" s="28">
        <f t="shared" si="58"/>
        <v>0</v>
      </c>
      <c r="E193" s="28">
        <f t="shared" si="58"/>
        <v>3463</v>
      </c>
      <c r="F193" s="28">
        <f t="shared" si="58"/>
        <v>0</v>
      </c>
      <c r="G193" s="28">
        <f t="shared" si="58"/>
        <v>3463</v>
      </c>
      <c r="H193" s="28">
        <f t="shared" si="58"/>
        <v>-864</v>
      </c>
      <c r="I193" s="28">
        <f t="shared" si="58"/>
        <v>2599</v>
      </c>
      <c r="J193" s="28">
        <f>SUM(J56)</f>
        <v>864</v>
      </c>
      <c r="K193" s="28">
        <f>SUM(K56)</f>
        <v>3463</v>
      </c>
      <c r="L193" s="28"/>
      <c r="M193" s="28"/>
      <c r="N193" s="28"/>
      <c r="O193" s="28"/>
      <c r="P193" s="28"/>
      <c r="Q193" s="28"/>
      <c r="R193" s="28"/>
      <c r="S193" s="28"/>
      <c r="T193" s="28"/>
      <c r="V193" s="12"/>
    </row>
    <row r="194" spans="1:22">
      <c r="A194" s="97" t="s">
        <v>1274</v>
      </c>
      <c r="B194" s="138" t="s">
        <v>1603</v>
      </c>
      <c r="C194" s="28">
        <f t="shared" ref="C194:I194" si="59">SUM(C39)</f>
        <v>76535</v>
      </c>
      <c r="D194" s="28">
        <f t="shared" si="59"/>
        <v>664</v>
      </c>
      <c r="E194" s="28">
        <f t="shared" si="59"/>
        <v>77199</v>
      </c>
      <c r="F194" s="28">
        <f t="shared" si="59"/>
        <v>90</v>
      </c>
      <c r="G194" s="28">
        <f t="shared" si="59"/>
        <v>77289</v>
      </c>
      <c r="H194" s="28">
        <f t="shared" si="59"/>
        <v>-28664</v>
      </c>
      <c r="I194" s="28">
        <f t="shared" si="59"/>
        <v>48625</v>
      </c>
      <c r="J194" s="28">
        <f>SUM(J39)</f>
        <v>1163</v>
      </c>
      <c r="K194" s="28">
        <f>SUM(K39)</f>
        <v>49788</v>
      </c>
      <c r="L194" s="28"/>
      <c r="M194" s="28"/>
      <c r="N194" s="28"/>
      <c r="O194" s="28"/>
      <c r="P194" s="28"/>
      <c r="Q194" s="28"/>
      <c r="R194" s="28"/>
      <c r="S194" s="28"/>
      <c r="T194" s="28"/>
      <c r="V194" s="12"/>
    </row>
    <row r="195" spans="1:22">
      <c r="A195" s="195"/>
      <c r="B195" s="198" t="s">
        <v>1409</v>
      </c>
      <c r="C195" s="205">
        <f t="shared" ref="C195:K195" si="60">SUM(C184:C194)</f>
        <v>364997</v>
      </c>
      <c r="D195" s="205">
        <f t="shared" si="60"/>
        <v>19341</v>
      </c>
      <c r="E195" s="205">
        <f t="shared" si="60"/>
        <v>384338</v>
      </c>
      <c r="F195" s="205">
        <f t="shared" si="60"/>
        <v>363</v>
      </c>
      <c r="G195" s="205">
        <f t="shared" si="60"/>
        <v>384701</v>
      </c>
      <c r="H195" s="205">
        <f t="shared" si="60"/>
        <v>5314</v>
      </c>
      <c r="I195" s="205">
        <f t="shared" si="60"/>
        <v>390015</v>
      </c>
      <c r="J195" s="205">
        <f t="shared" si="60"/>
        <v>12394</v>
      </c>
      <c r="K195" s="205">
        <f t="shared" si="60"/>
        <v>402409</v>
      </c>
      <c r="L195" s="206"/>
      <c r="M195" s="206"/>
      <c r="N195" s="206"/>
      <c r="O195" s="206"/>
      <c r="P195" s="206"/>
      <c r="Q195" s="206"/>
      <c r="R195" s="206"/>
      <c r="S195" s="206"/>
      <c r="T195" s="206"/>
      <c r="V195" s="12"/>
    </row>
    <row r="196" spans="1:22">
      <c r="A196" s="135"/>
      <c r="B196" s="136" t="s">
        <v>1410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V196" s="12"/>
    </row>
    <row r="197" spans="1:22">
      <c r="A197" s="97" t="s">
        <v>1629</v>
      </c>
      <c r="B197" s="139" t="s">
        <v>1281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>
        <f>SUM(L11+L12+L75+L93+L94+L77)</f>
        <v>30748</v>
      </c>
      <c r="M197" s="28">
        <f t="shared" ref="M197:T197" si="61">SUM(M11+M12+M75+M93+M94+M77)</f>
        <v>0</v>
      </c>
      <c r="N197" s="28">
        <f t="shared" si="61"/>
        <v>30748</v>
      </c>
      <c r="O197" s="28">
        <f t="shared" si="61"/>
        <v>0</v>
      </c>
      <c r="P197" s="28">
        <f t="shared" si="61"/>
        <v>30748</v>
      </c>
      <c r="Q197" s="28">
        <f t="shared" si="61"/>
        <v>2503</v>
      </c>
      <c r="R197" s="28">
        <f t="shared" si="61"/>
        <v>33251</v>
      </c>
      <c r="S197" s="28">
        <f t="shared" si="61"/>
        <v>-4052</v>
      </c>
      <c r="T197" s="28">
        <f t="shared" si="61"/>
        <v>29199</v>
      </c>
      <c r="V197" s="12"/>
    </row>
    <row r="198" spans="1:22">
      <c r="A198" s="97" t="s">
        <v>1548</v>
      </c>
      <c r="B198" s="139" t="s">
        <v>1549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>
        <f t="shared" ref="L198:T198" si="62">SUM(L13+L76+L95)</f>
        <v>7415</v>
      </c>
      <c r="M198" s="28">
        <f t="shared" si="62"/>
        <v>0</v>
      </c>
      <c r="N198" s="28">
        <f t="shared" si="62"/>
        <v>7415</v>
      </c>
      <c r="O198" s="28">
        <f t="shared" si="62"/>
        <v>0</v>
      </c>
      <c r="P198" s="28">
        <f t="shared" si="62"/>
        <v>7415</v>
      </c>
      <c r="Q198" s="28">
        <f t="shared" si="62"/>
        <v>0</v>
      </c>
      <c r="R198" s="28">
        <f t="shared" si="62"/>
        <v>7415</v>
      </c>
      <c r="S198" s="28">
        <f t="shared" si="62"/>
        <v>-340</v>
      </c>
      <c r="T198" s="28">
        <f t="shared" si="62"/>
        <v>7075</v>
      </c>
      <c r="U198" s="12"/>
      <c r="V198" s="12"/>
    </row>
    <row r="199" spans="1:22">
      <c r="A199" s="97" t="s">
        <v>1597</v>
      </c>
      <c r="B199" s="139" t="s">
        <v>1533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>
        <f t="shared" ref="L199:R199" si="63">SUM(L16+L17+L18+L19+L20+L23+L15)</f>
        <v>36000</v>
      </c>
      <c r="M199" s="28">
        <f t="shared" si="63"/>
        <v>0</v>
      </c>
      <c r="N199" s="28">
        <f t="shared" si="63"/>
        <v>36000</v>
      </c>
      <c r="O199" s="28">
        <f t="shared" si="63"/>
        <v>0</v>
      </c>
      <c r="P199" s="28">
        <f t="shared" si="63"/>
        <v>36000</v>
      </c>
      <c r="Q199" s="28">
        <f t="shared" si="63"/>
        <v>0</v>
      </c>
      <c r="R199" s="28">
        <f t="shared" si="63"/>
        <v>36000</v>
      </c>
      <c r="S199" s="28">
        <f>SUM(S16+S17+S18+S19+S20+S23+S15+S21+S22)</f>
        <v>5629</v>
      </c>
      <c r="T199" s="28">
        <f>SUM(T16+T17+T18+T19+T20+T23+T15+T21+T22)</f>
        <v>41629</v>
      </c>
      <c r="V199" s="12"/>
    </row>
    <row r="200" spans="1:22" ht="19.5">
      <c r="A200" s="97" t="s">
        <v>1600</v>
      </c>
      <c r="B200" s="139" t="s">
        <v>1601</v>
      </c>
      <c r="C200" s="28"/>
      <c r="D200" s="28"/>
      <c r="E200" s="28"/>
      <c r="F200" s="28"/>
      <c r="G200" s="28"/>
      <c r="H200" s="28"/>
      <c r="I200" s="28"/>
      <c r="J200" s="28"/>
      <c r="K200" s="28"/>
      <c r="L200" s="28">
        <f>SUM(L24)</f>
        <v>48581</v>
      </c>
      <c r="M200" s="28">
        <f>SUM(M24)</f>
        <v>111292</v>
      </c>
      <c r="N200" s="28">
        <f>SUM(N24)</f>
        <v>159873</v>
      </c>
      <c r="O200" s="28">
        <f>SUM(O24+O143)</f>
        <v>-79958</v>
      </c>
      <c r="P200" s="28">
        <f>SUM('Mártély összesen'!P24+P143)</f>
        <v>79915</v>
      </c>
      <c r="Q200" s="28">
        <f>SUM(Q24+Q143)</f>
        <v>1976</v>
      </c>
      <c r="R200" s="28">
        <f>SUM(R24+R143)</f>
        <v>81891</v>
      </c>
      <c r="S200" s="28">
        <f>SUM(S24+S143)</f>
        <v>-2377</v>
      </c>
      <c r="T200" s="28">
        <f>SUM(T24+T143)</f>
        <v>79514</v>
      </c>
      <c r="V200" s="12"/>
    </row>
    <row r="201" spans="1:22">
      <c r="A201" s="97" t="s">
        <v>1552</v>
      </c>
      <c r="B201" s="139" t="s">
        <v>1631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>
        <f t="shared" ref="L201:T201" si="64">SUM(L32+L108)</f>
        <v>37078</v>
      </c>
      <c r="M201" s="28">
        <f t="shared" si="64"/>
        <v>2566</v>
      </c>
      <c r="N201" s="28">
        <f t="shared" si="64"/>
        <v>39644</v>
      </c>
      <c r="O201" s="28">
        <f t="shared" si="64"/>
        <v>0</v>
      </c>
      <c r="P201" s="28">
        <f t="shared" si="64"/>
        <v>39644</v>
      </c>
      <c r="Q201" s="28">
        <f t="shared" si="64"/>
        <v>0</v>
      </c>
      <c r="R201" s="28">
        <f t="shared" si="64"/>
        <v>39644</v>
      </c>
      <c r="S201" s="28">
        <f t="shared" si="64"/>
        <v>5616</v>
      </c>
      <c r="T201" s="28">
        <f t="shared" si="64"/>
        <v>45260</v>
      </c>
      <c r="V201" s="12"/>
    </row>
    <row r="202" spans="1:22">
      <c r="A202" s="97" t="s">
        <v>1613</v>
      </c>
      <c r="B202" s="139" t="s">
        <v>1630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>
        <f t="shared" ref="L202:T202" si="65">SUM(L35+L109)</f>
        <v>70</v>
      </c>
      <c r="M202" s="28">
        <f t="shared" si="65"/>
        <v>0</v>
      </c>
      <c r="N202" s="28">
        <f t="shared" si="65"/>
        <v>70</v>
      </c>
      <c r="O202" s="28">
        <f t="shared" si="65"/>
        <v>0</v>
      </c>
      <c r="P202" s="28">
        <f t="shared" si="65"/>
        <v>70</v>
      </c>
      <c r="Q202" s="28">
        <f t="shared" si="65"/>
        <v>0</v>
      </c>
      <c r="R202" s="28">
        <f t="shared" si="65"/>
        <v>70</v>
      </c>
      <c r="S202" s="28">
        <f t="shared" si="65"/>
        <v>-38</v>
      </c>
      <c r="T202" s="28">
        <f t="shared" si="65"/>
        <v>32</v>
      </c>
      <c r="V202" s="12"/>
    </row>
    <row r="203" spans="1:22" ht="14.25" customHeight="1">
      <c r="A203" s="97" t="s">
        <v>1587</v>
      </c>
      <c r="B203" s="139" t="s">
        <v>1588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>
        <f t="shared" ref="L203:T203" si="66">SUM(L45)</f>
        <v>36274</v>
      </c>
      <c r="M203" s="28">
        <f t="shared" si="66"/>
        <v>0</v>
      </c>
      <c r="N203" s="28">
        <f t="shared" si="66"/>
        <v>36274</v>
      </c>
      <c r="O203" s="28">
        <f t="shared" si="66"/>
        <v>80321</v>
      </c>
      <c r="P203" s="28">
        <f t="shared" si="66"/>
        <v>116595</v>
      </c>
      <c r="Q203" s="28">
        <f t="shared" si="66"/>
        <v>54</v>
      </c>
      <c r="R203" s="28">
        <f t="shared" si="66"/>
        <v>116649</v>
      </c>
      <c r="S203" s="28">
        <f t="shared" si="66"/>
        <v>0</v>
      </c>
      <c r="T203" s="28">
        <f t="shared" si="66"/>
        <v>116649</v>
      </c>
      <c r="V203" s="12"/>
    </row>
    <row r="204" spans="1:22">
      <c r="A204" s="97" t="s">
        <v>1591</v>
      </c>
      <c r="B204" s="138" t="s">
        <v>1415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8">
        <f t="shared" ref="L204:R204" si="67">SUM(L51)</f>
        <v>3463</v>
      </c>
      <c r="M204" s="28">
        <f t="shared" si="67"/>
        <v>0</v>
      </c>
      <c r="N204" s="28">
        <f t="shared" si="67"/>
        <v>3463</v>
      </c>
      <c r="O204" s="28">
        <f t="shared" si="67"/>
        <v>0</v>
      </c>
      <c r="P204" s="28">
        <f t="shared" si="67"/>
        <v>3463</v>
      </c>
      <c r="Q204" s="28">
        <f t="shared" si="67"/>
        <v>0</v>
      </c>
      <c r="R204" s="28">
        <f t="shared" si="67"/>
        <v>3463</v>
      </c>
      <c r="S204" s="28">
        <f>SUM(S51)</f>
        <v>0</v>
      </c>
      <c r="T204" s="28">
        <f>SUM(T51)</f>
        <v>3463</v>
      </c>
      <c r="V204" s="12"/>
    </row>
    <row r="205" spans="1:22">
      <c r="A205" s="97" t="s">
        <v>92</v>
      </c>
      <c r="B205" s="138" t="s">
        <v>1304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>
        <f t="shared" ref="L205:Q205" si="68">SUM(L47+L48+L50)</f>
        <v>99977</v>
      </c>
      <c r="M205" s="28">
        <f t="shared" si="68"/>
        <v>-90768</v>
      </c>
      <c r="N205" s="28">
        <f t="shared" si="68"/>
        <v>9209</v>
      </c>
      <c r="O205" s="28">
        <f t="shared" si="68"/>
        <v>0</v>
      </c>
      <c r="P205" s="28">
        <f t="shared" si="68"/>
        <v>9209</v>
      </c>
      <c r="Q205" s="28">
        <f t="shared" si="68"/>
        <v>0</v>
      </c>
      <c r="R205" s="28">
        <f>SUM(R47+R48+R50+R49)</f>
        <v>9209</v>
      </c>
      <c r="S205" s="28">
        <f>SUM(S47+S48+S50+S49)</f>
        <v>6793</v>
      </c>
      <c r="T205" s="28">
        <f>SUM(T47+T48+T50+T49)</f>
        <v>16002</v>
      </c>
      <c r="V205" s="12"/>
    </row>
    <row r="206" spans="1:22">
      <c r="A206" s="97" t="s">
        <v>1574</v>
      </c>
      <c r="B206" s="138" t="s">
        <v>1271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>
        <f t="shared" ref="L206:R206" si="69">SUM(L58+L59)</f>
        <v>3135</v>
      </c>
      <c r="M206" s="28">
        <f t="shared" si="69"/>
        <v>0</v>
      </c>
      <c r="N206" s="28">
        <f t="shared" si="69"/>
        <v>3135</v>
      </c>
      <c r="O206" s="28">
        <f t="shared" si="69"/>
        <v>0</v>
      </c>
      <c r="P206" s="28">
        <f t="shared" si="69"/>
        <v>3135</v>
      </c>
      <c r="Q206" s="28">
        <f t="shared" si="69"/>
        <v>0</v>
      </c>
      <c r="R206" s="28">
        <f t="shared" si="69"/>
        <v>3135</v>
      </c>
      <c r="S206" s="28">
        <f>SUM(S58+S59)</f>
        <v>0</v>
      </c>
      <c r="T206" s="28">
        <f>SUM(T58+T59)</f>
        <v>3135</v>
      </c>
      <c r="V206" s="12"/>
    </row>
    <row r="207" spans="1:22">
      <c r="A207" s="97" t="s">
        <v>1557</v>
      </c>
      <c r="B207" s="138" t="s">
        <v>1558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>
        <f t="shared" ref="L207:T207" si="70">SUM(L42+L86+L112)</f>
        <v>15721</v>
      </c>
      <c r="M207" s="28">
        <f t="shared" si="70"/>
        <v>-5058</v>
      </c>
      <c r="N207" s="28">
        <f t="shared" si="70"/>
        <v>10663</v>
      </c>
      <c r="O207" s="28">
        <f t="shared" si="70"/>
        <v>0</v>
      </c>
      <c r="P207" s="28">
        <f t="shared" si="70"/>
        <v>10663</v>
      </c>
      <c r="Q207" s="28">
        <f t="shared" si="70"/>
        <v>0</v>
      </c>
      <c r="R207" s="28">
        <f t="shared" si="70"/>
        <v>10663</v>
      </c>
      <c r="S207" s="28">
        <f t="shared" si="70"/>
        <v>0</v>
      </c>
      <c r="T207" s="28">
        <f t="shared" si="70"/>
        <v>10663</v>
      </c>
      <c r="V207" s="12"/>
    </row>
    <row r="208" spans="1:22">
      <c r="A208" s="97" t="s">
        <v>1455</v>
      </c>
      <c r="B208" s="138" t="s">
        <v>1603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>
        <f t="shared" ref="L208:T208" si="71">SUM(L85+L111)</f>
        <v>46535</v>
      </c>
      <c r="M208" s="28">
        <f t="shared" si="71"/>
        <v>1309</v>
      </c>
      <c r="N208" s="28">
        <f t="shared" si="71"/>
        <v>47844</v>
      </c>
      <c r="O208" s="28">
        <f t="shared" si="71"/>
        <v>0</v>
      </c>
      <c r="P208" s="28">
        <f t="shared" si="71"/>
        <v>47844</v>
      </c>
      <c r="Q208" s="28">
        <f t="shared" si="71"/>
        <v>781</v>
      </c>
      <c r="R208" s="28">
        <f t="shared" si="71"/>
        <v>48625</v>
      </c>
      <c r="S208" s="28">
        <f t="shared" si="71"/>
        <v>1163</v>
      </c>
      <c r="T208" s="28">
        <f t="shared" si="71"/>
        <v>49788</v>
      </c>
      <c r="V208" s="12"/>
    </row>
    <row r="209" spans="1:22">
      <c r="A209" s="195"/>
      <c r="B209" s="198" t="s">
        <v>1413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>
        <f t="shared" ref="L209:R209" si="72">SUM(L197:L208)</f>
        <v>364997</v>
      </c>
      <c r="M209" s="205">
        <f t="shared" si="72"/>
        <v>19341</v>
      </c>
      <c r="N209" s="205">
        <f t="shared" si="72"/>
        <v>384338</v>
      </c>
      <c r="O209" s="205">
        <f t="shared" si="72"/>
        <v>363</v>
      </c>
      <c r="P209" s="205">
        <f t="shared" si="72"/>
        <v>384701</v>
      </c>
      <c r="Q209" s="205">
        <f>SUM(Q197:Q208)</f>
        <v>5314</v>
      </c>
      <c r="R209" s="205">
        <f t="shared" si="72"/>
        <v>390015</v>
      </c>
      <c r="S209" s="205">
        <f>SUM(S197:S208)</f>
        <v>12394</v>
      </c>
      <c r="T209" s="205">
        <f>SUM(T197:T208)</f>
        <v>402409</v>
      </c>
      <c r="V209" s="12"/>
    </row>
    <row r="211" spans="1:22">
      <c r="L211" s="3">
        <f t="shared" ref="L211:T211" si="73">C195-L209</f>
        <v>0</v>
      </c>
      <c r="M211" s="3">
        <f t="shared" si="73"/>
        <v>0</v>
      </c>
      <c r="N211" s="3">
        <f t="shared" si="73"/>
        <v>0</v>
      </c>
      <c r="O211" s="3">
        <f t="shared" si="73"/>
        <v>0</v>
      </c>
      <c r="P211" s="3">
        <f t="shared" si="73"/>
        <v>0</v>
      </c>
      <c r="Q211" s="3">
        <f t="shared" si="73"/>
        <v>0</v>
      </c>
      <c r="R211" s="3">
        <f t="shared" si="73"/>
        <v>0</v>
      </c>
      <c r="S211" s="3">
        <f t="shared" si="73"/>
        <v>0</v>
      </c>
      <c r="T211" s="3">
        <f t="shared" si="73"/>
        <v>0</v>
      </c>
    </row>
    <row r="212" spans="1:22">
      <c r="L212" s="211"/>
      <c r="M212" s="3"/>
      <c r="S212" s="3"/>
      <c r="T212" s="3"/>
    </row>
    <row r="213" spans="1:22">
      <c r="C213" s="3"/>
      <c r="D213" s="3"/>
      <c r="E213" s="3"/>
      <c r="F213" s="3"/>
      <c r="G213" s="3"/>
      <c r="H213" s="3"/>
      <c r="I213" s="3"/>
      <c r="J213" s="3"/>
    </row>
    <row r="214" spans="1:22">
      <c r="R214" s="3"/>
      <c r="S214" s="3"/>
      <c r="T214" s="3"/>
    </row>
    <row r="215" spans="1:22">
      <c r="L215" s="3"/>
      <c r="M215" s="3"/>
      <c r="N215" s="3"/>
      <c r="O215" s="3"/>
      <c r="P215" s="3"/>
      <c r="Q215" s="3"/>
      <c r="R215" s="3"/>
      <c r="S215" s="3"/>
      <c r="T215" s="3"/>
    </row>
    <row r="217" spans="1:22">
      <c r="K217" s="74"/>
      <c r="R217" s="3"/>
      <c r="S217" s="3"/>
      <c r="T217" s="3"/>
    </row>
    <row r="218" spans="1:22">
      <c r="K218" s="74"/>
      <c r="R218" s="3"/>
      <c r="S218" s="3"/>
      <c r="T218" s="3"/>
    </row>
    <row r="219" spans="1:22">
      <c r="K219" s="74"/>
      <c r="R219" s="3"/>
      <c r="S219" s="3"/>
      <c r="T219" s="3"/>
    </row>
    <row r="221" spans="1:22">
      <c r="R221" s="3"/>
      <c r="S221" s="3"/>
      <c r="T221" s="3"/>
    </row>
    <row r="222" spans="1:22">
      <c r="S222" s="3"/>
      <c r="T222" s="3"/>
    </row>
  </sheetData>
  <mergeCells count="2">
    <mergeCell ref="C5:K5"/>
    <mergeCell ref="L5:T5"/>
  </mergeCells>
  <phoneticPr fontId="1" type="noConversion"/>
  <printOptions horizontalCentered="1"/>
  <pageMargins left="0.35433070866141736" right="0.43307086614173229" top="0.59055118110236227" bottom="0.59055118110236227" header="0.31496062992125984" footer="0.19685039370078741"/>
  <pageSetup paperSize="9" orientation="landscape" r:id="rId1"/>
  <headerFooter alignWithMargins="0">
    <oddFooter>&amp;C&amp;P</oddFooter>
  </headerFooter>
  <rowBreaks count="1" manualBreakCount="1">
    <brk id="1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6"/>
  <sheetViews>
    <sheetView topLeftCell="A16" workbookViewId="0">
      <selection activeCell="F10" sqref="F10"/>
    </sheetView>
  </sheetViews>
  <sheetFormatPr defaultRowHeight="12.75"/>
  <cols>
    <col min="1" max="1" width="14.7109375" customWidth="1"/>
    <col min="2" max="2" width="13.42578125" customWidth="1"/>
    <col min="3" max="3" width="10.5703125" customWidth="1"/>
    <col min="5" max="5" width="10" bestFit="1" customWidth="1"/>
    <col min="6" max="6" width="11.42578125" customWidth="1"/>
  </cols>
  <sheetData>
    <row r="2" spans="1:6">
      <c r="F2" s="74" t="s">
        <v>1225</v>
      </c>
    </row>
    <row r="5" spans="1:6" ht="50.25" customHeight="1">
      <c r="A5" s="347" t="s">
        <v>1226</v>
      </c>
      <c r="B5" s="347"/>
      <c r="C5" s="347"/>
      <c r="D5" s="347"/>
      <c r="E5" s="347"/>
      <c r="F5" s="347"/>
    </row>
    <row r="7" spans="1:6" ht="33.75">
      <c r="A7" s="126" t="s">
        <v>108</v>
      </c>
      <c r="B7" s="126" t="s">
        <v>109</v>
      </c>
      <c r="C7" s="126" t="s">
        <v>110</v>
      </c>
      <c r="D7" s="126" t="s">
        <v>1229</v>
      </c>
      <c r="E7" s="126" t="s">
        <v>111</v>
      </c>
      <c r="F7" s="126" t="s">
        <v>112</v>
      </c>
    </row>
    <row r="8" spans="1:6" ht="22.5">
      <c r="A8" s="25">
        <v>1446000</v>
      </c>
      <c r="B8" s="126" t="s">
        <v>113</v>
      </c>
      <c r="C8" s="23">
        <v>1746</v>
      </c>
      <c r="D8" s="163">
        <v>4.7399999999999997E-4</v>
      </c>
      <c r="E8" s="164">
        <v>685.4</v>
      </c>
      <c r="F8" s="25">
        <f>SUM(C8*E8)</f>
        <v>1196708.3999999999</v>
      </c>
    </row>
    <row r="9" spans="1:6" ht="22.5">
      <c r="A9" s="25">
        <v>15311883</v>
      </c>
      <c r="B9" s="126" t="s">
        <v>113</v>
      </c>
      <c r="C9" s="23">
        <v>1746</v>
      </c>
      <c r="D9" s="163">
        <v>4.7399999999999997E-4</v>
      </c>
      <c r="E9" s="164">
        <v>7257.83</v>
      </c>
      <c r="F9" s="25">
        <f>SUM(C9*E9)</f>
        <v>12672171.18</v>
      </c>
    </row>
    <row r="10" spans="1:6">
      <c r="A10" s="175" t="s">
        <v>1256</v>
      </c>
      <c r="B10" s="176"/>
      <c r="C10" s="62"/>
      <c r="D10" s="163"/>
      <c r="E10" s="164"/>
      <c r="F10" s="25">
        <v>-12672171</v>
      </c>
    </row>
    <row r="11" spans="1:6" ht="26.25" customHeight="1">
      <c r="A11" s="348" t="s">
        <v>1227</v>
      </c>
      <c r="B11" s="349"/>
      <c r="C11" s="350"/>
      <c r="D11" s="163"/>
      <c r="E11" s="164"/>
      <c r="F11" s="24">
        <f>SUM(F8:F10)</f>
        <v>1196708.58</v>
      </c>
    </row>
    <row r="12" spans="1:6" ht="22.5">
      <c r="A12" s="126" t="s">
        <v>1228</v>
      </c>
      <c r="B12" s="23"/>
      <c r="C12" s="23"/>
      <c r="D12" s="163"/>
      <c r="E12" s="164"/>
      <c r="F12" s="25"/>
    </row>
    <row r="13" spans="1:6">
      <c r="A13" s="25" t="s">
        <v>114</v>
      </c>
      <c r="B13" s="23"/>
      <c r="C13" s="23"/>
      <c r="D13" s="163"/>
      <c r="E13" s="164"/>
      <c r="F13" s="25">
        <v>1446000</v>
      </c>
    </row>
    <row r="14" spans="1:6">
      <c r="A14" s="25" t="s">
        <v>114</v>
      </c>
      <c r="B14" s="23"/>
      <c r="C14" s="23"/>
      <c r="D14" s="163"/>
      <c r="E14" s="164"/>
      <c r="F14" s="25">
        <v>15311883</v>
      </c>
    </row>
    <row r="15" spans="1:6">
      <c r="A15" s="25" t="s">
        <v>114</v>
      </c>
      <c r="B15" s="23"/>
      <c r="C15" s="23"/>
      <c r="D15" s="163"/>
      <c r="E15" s="164"/>
      <c r="F15" s="25">
        <v>901320</v>
      </c>
    </row>
    <row r="16" spans="1:6" ht="24" customHeight="1">
      <c r="A16" s="15" t="s">
        <v>1230</v>
      </c>
      <c r="B16" s="15"/>
      <c r="C16" s="15"/>
      <c r="D16" s="15"/>
      <c r="E16" s="15"/>
      <c r="F16" s="24">
        <f>SUM(F13:F15)</f>
        <v>17659203</v>
      </c>
    </row>
    <row r="17" spans="1:6" ht="26.25" customHeight="1">
      <c r="A17" s="332" t="s">
        <v>1231</v>
      </c>
      <c r="B17" s="351"/>
      <c r="C17" s="351"/>
      <c r="D17" s="333"/>
      <c r="E17" s="71"/>
      <c r="F17" s="24">
        <f>SUM(F16+F11)</f>
        <v>18855911.579999998</v>
      </c>
    </row>
    <row r="20" spans="1:6">
      <c r="A20" s="165" t="s">
        <v>1235</v>
      </c>
    </row>
    <row r="21" spans="1:6">
      <c r="A21" s="165" t="s">
        <v>1273</v>
      </c>
    </row>
    <row r="22" spans="1:6">
      <c r="A22" s="165" t="s">
        <v>1236</v>
      </c>
    </row>
    <row r="23" spans="1:6">
      <c r="A23" s="165"/>
    </row>
    <row r="24" spans="1:6">
      <c r="A24" s="165" t="s">
        <v>1237</v>
      </c>
    </row>
    <row r="25" spans="1:6">
      <c r="A25" s="165" t="s">
        <v>1232</v>
      </c>
    </row>
    <row r="26" spans="1:6">
      <c r="A26" s="165" t="s">
        <v>1233</v>
      </c>
    </row>
    <row r="27" spans="1:6">
      <c r="A27" s="165" t="s">
        <v>1234</v>
      </c>
    </row>
    <row r="28" spans="1:6">
      <c r="A28" s="165"/>
    </row>
    <row r="29" spans="1:6">
      <c r="A29" s="165" t="s">
        <v>1238</v>
      </c>
    </row>
    <row r="30" spans="1:6">
      <c r="A30" s="165" t="s">
        <v>1239</v>
      </c>
    </row>
    <row r="31" spans="1:6">
      <c r="A31" s="165" t="s">
        <v>1240</v>
      </c>
    </row>
    <row r="32" spans="1:6">
      <c r="A32" s="165" t="s">
        <v>1241</v>
      </c>
    </row>
    <row r="33" spans="1:1">
      <c r="A33" s="165" t="s">
        <v>1242</v>
      </c>
    </row>
    <row r="35" spans="1:1">
      <c r="A35" s="165" t="s">
        <v>1257</v>
      </c>
    </row>
    <row r="36" spans="1:1">
      <c r="A36" s="165" t="s">
        <v>1258</v>
      </c>
    </row>
  </sheetData>
  <mergeCells count="3">
    <mergeCell ref="A5:F5"/>
    <mergeCell ref="A11:C11"/>
    <mergeCell ref="A17:D17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2"/>
  <sheetViews>
    <sheetView topLeftCell="A34" workbookViewId="0">
      <selection activeCell="G10" sqref="G10"/>
    </sheetView>
  </sheetViews>
  <sheetFormatPr defaultRowHeight="12.75"/>
  <cols>
    <col min="1" max="1" width="6.7109375" style="74" customWidth="1"/>
    <col min="2" max="2" width="7.28515625" style="74" customWidth="1"/>
    <col min="3" max="3" width="28" style="74" customWidth="1"/>
    <col min="4" max="4" width="12.140625" style="75" customWidth="1"/>
    <col min="5" max="5" width="11" style="75" customWidth="1"/>
    <col min="6" max="6" width="11.85546875" style="74" customWidth="1"/>
    <col min="7" max="7" width="10.28515625" style="75" customWidth="1"/>
  </cols>
  <sheetData>
    <row r="1" spans="1:7">
      <c r="G1" s="75" t="s">
        <v>1255</v>
      </c>
    </row>
    <row r="2" spans="1:7" ht="45">
      <c r="A2" s="161" t="s">
        <v>116</v>
      </c>
      <c r="B2" s="162" t="s">
        <v>117</v>
      </c>
      <c r="C2" s="161" t="s">
        <v>118</v>
      </c>
      <c r="D2" s="162" t="s">
        <v>119</v>
      </c>
      <c r="E2" s="162" t="s">
        <v>120</v>
      </c>
      <c r="F2" s="162" t="s">
        <v>121</v>
      </c>
      <c r="G2" s="161" t="s">
        <v>122</v>
      </c>
    </row>
    <row r="3" spans="1:7">
      <c r="A3" s="159" t="s">
        <v>123</v>
      </c>
      <c r="B3" s="159" t="s">
        <v>124</v>
      </c>
      <c r="C3" s="159" t="s">
        <v>125</v>
      </c>
      <c r="D3" s="25">
        <v>911000</v>
      </c>
      <c r="E3" s="25">
        <v>0</v>
      </c>
      <c r="F3" s="25">
        <f>D3-E3</f>
        <v>911000</v>
      </c>
      <c r="G3" s="25"/>
    </row>
    <row r="4" spans="1:7">
      <c r="A4" s="159" t="s">
        <v>126</v>
      </c>
      <c r="B4" s="159" t="s">
        <v>124</v>
      </c>
      <c r="C4" s="159" t="s">
        <v>127</v>
      </c>
      <c r="D4" s="25">
        <v>925000</v>
      </c>
      <c r="E4" s="25">
        <v>0</v>
      </c>
      <c r="F4" s="25">
        <f t="shared" ref="F4:F67" si="0">D4-E4</f>
        <v>925000</v>
      </c>
      <c r="G4" s="25"/>
    </row>
    <row r="5" spans="1:7">
      <c r="A5" s="159" t="s">
        <v>128</v>
      </c>
      <c r="B5" s="159" t="s">
        <v>124</v>
      </c>
      <c r="C5" s="159" t="s">
        <v>129</v>
      </c>
      <c r="D5" s="25">
        <v>755000</v>
      </c>
      <c r="E5" s="25">
        <v>0</v>
      </c>
      <c r="F5" s="25">
        <f t="shared" si="0"/>
        <v>755000</v>
      </c>
      <c r="G5" s="25"/>
    </row>
    <row r="6" spans="1:7">
      <c r="A6" s="159" t="s">
        <v>130</v>
      </c>
      <c r="B6" s="159" t="s">
        <v>124</v>
      </c>
      <c r="C6" s="159" t="s">
        <v>131</v>
      </c>
      <c r="D6" s="25">
        <v>1298000</v>
      </c>
      <c r="E6" s="25">
        <v>0</v>
      </c>
      <c r="F6" s="25">
        <f t="shared" si="0"/>
        <v>1298000</v>
      </c>
      <c r="G6" s="25"/>
    </row>
    <row r="7" spans="1:7">
      <c r="A7" s="159" t="s">
        <v>132</v>
      </c>
      <c r="B7" s="159" t="s">
        <v>124</v>
      </c>
      <c r="C7" s="159" t="s">
        <v>133</v>
      </c>
      <c r="D7" s="25">
        <v>925000</v>
      </c>
      <c r="E7" s="25">
        <v>0</v>
      </c>
      <c r="F7" s="25">
        <f t="shared" si="0"/>
        <v>925000</v>
      </c>
      <c r="G7" s="25"/>
    </row>
    <row r="8" spans="1:7">
      <c r="A8" s="159" t="s">
        <v>134</v>
      </c>
      <c r="B8" s="159" t="s">
        <v>124</v>
      </c>
      <c r="C8" s="159" t="s">
        <v>129</v>
      </c>
      <c r="D8" s="25">
        <v>755000</v>
      </c>
      <c r="E8" s="25">
        <v>0</v>
      </c>
      <c r="F8" s="25">
        <f t="shared" si="0"/>
        <v>755000</v>
      </c>
      <c r="G8" s="25"/>
    </row>
    <row r="9" spans="1:7">
      <c r="A9" s="159" t="s">
        <v>135</v>
      </c>
      <c r="B9" s="159" t="s">
        <v>124</v>
      </c>
      <c r="C9" s="159" t="s">
        <v>136</v>
      </c>
      <c r="D9" s="25">
        <v>1418000</v>
      </c>
      <c r="E9" s="25">
        <v>0</v>
      </c>
      <c r="F9" s="25">
        <f t="shared" si="0"/>
        <v>1418000</v>
      </c>
      <c r="G9" s="25"/>
    </row>
    <row r="10" spans="1:7">
      <c r="A10" s="159" t="s">
        <v>137</v>
      </c>
      <c r="B10" s="159" t="s">
        <v>124</v>
      </c>
      <c r="C10" s="159" t="s">
        <v>138</v>
      </c>
      <c r="D10" s="25">
        <v>1019000</v>
      </c>
      <c r="E10" s="25">
        <v>0</v>
      </c>
      <c r="F10" s="25">
        <f t="shared" si="0"/>
        <v>1019000</v>
      </c>
      <c r="G10" s="25"/>
    </row>
    <row r="11" spans="1:7">
      <c r="A11" s="159" t="s">
        <v>139</v>
      </c>
      <c r="B11" s="159" t="s">
        <v>124</v>
      </c>
      <c r="C11" s="159" t="s">
        <v>140</v>
      </c>
      <c r="D11" s="25">
        <v>560000</v>
      </c>
      <c r="E11" s="25">
        <v>0</v>
      </c>
      <c r="F11" s="25">
        <f t="shared" si="0"/>
        <v>560000</v>
      </c>
      <c r="G11" s="25"/>
    </row>
    <row r="12" spans="1:7">
      <c r="A12" s="159" t="s">
        <v>141</v>
      </c>
      <c r="B12" s="159" t="s">
        <v>124</v>
      </c>
      <c r="C12" s="159" t="s">
        <v>142</v>
      </c>
      <c r="D12" s="25">
        <v>45000</v>
      </c>
      <c r="E12" s="25">
        <v>0</v>
      </c>
      <c r="F12" s="25">
        <f t="shared" si="0"/>
        <v>45000</v>
      </c>
      <c r="G12" s="25"/>
    </row>
    <row r="13" spans="1:7">
      <c r="A13" s="159" t="s">
        <v>143</v>
      </c>
      <c r="B13" s="159" t="s">
        <v>124</v>
      </c>
      <c r="C13" s="159" t="s">
        <v>144</v>
      </c>
      <c r="D13" s="25">
        <v>340000</v>
      </c>
      <c r="E13" s="25">
        <v>0</v>
      </c>
      <c r="F13" s="25">
        <f t="shared" si="0"/>
        <v>340000</v>
      </c>
      <c r="G13" s="25"/>
    </row>
    <row r="14" spans="1:7">
      <c r="A14" s="159" t="s">
        <v>145</v>
      </c>
      <c r="B14" s="159" t="s">
        <v>124</v>
      </c>
      <c r="C14" s="159" t="s">
        <v>144</v>
      </c>
      <c r="D14" s="25">
        <v>131000</v>
      </c>
      <c r="E14" s="25">
        <v>0</v>
      </c>
      <c r="F14" s="25">
        <f t="shared" si="0"/>
        <v>131000</v>
      </c>
      <c r="G14" s="25"/>
    </row>
    <row r="15" spans="1:7">
      <c r="A15" s="159" t="s">
        <v>146</v>
      </c>
      <c r="B15" s="159" t="s">
        <v>124</v>
      </c>
      <c r="C15" s="159" t="s">
        <v>147</v>
      </c>
      <c r="D15" s="25">
        <v>884000</v>
      </c>
      <c r="E15" s="25">
        <v>0</v>
      </c>
      <c r="F15" s="25">
        <f t="shared" si="0"/>
        <v>884000</v>
      </c>
      <c r="G15" s="25"/>
    </row>
    <row r="16" spans="1:7">
      <c r="A16" s="159" t="s">
        <v>148</v>
      </c>
      <c r="B16" s="159" t="s">
        <v>124</v>
      </c>
      <c r="C16" s="159" t="s">
        <v>149</v>
      </c>
      <c r="D16" s="25">
        <v>42000</v>
      </c>
      <c r="E16" s="25">
        <v>0</v>
      </c>
      <c r="F16" s="25">
        <f t="shared" si="0"/>
        <v>42000</v>
      </c>
      <c r="G16" s="25"/>
    </row>
    <row r="17" spans="1:7">
      <c r="A17" s="159" t="s">
        <v>150</v>
      </c>
      <c r="B17" s="159" t="s">
        <v>124</v>
      </c>
      <c r="C17" s="159" t="s">
        <v>151</v>
      </c>
      <c r="D17" s="25">
        <v>471000</v>
      </c>
      <c r="E17" s="25">
        <v>0</v>
      </c>
      <c r="F17" s="25">
        <f t="shared" si="0"/>
        <v>471000</v>
      </c>
      <c r="G17" s="25"/>
    </row>
    <row r="18" spans="1:7">
      <c r="A18" s="159" t="s">
        <v>152</v>
      </c>
      <c r="B18" s="159" t="s">
        <v>124</v>
      </c>
      <c r="C18" s="159" t="s">
        <v>153</v>
      </c>
      <c r="D18" s="25">
        <v>135000</v>
      </c>
      <c r="E18" s="25">
        <v>0</v>
      </c>
      <c r="F18" s="25">
        <f t="shared" si="0"/>
        <v>135000</v>
      </c>
      <c r="G18" s="25"/>
    </row>
    <row r="19" spans="1:7">
      <c r="A19" s="159" t="s">
        <v>154</v>
      </c>
      <c r="B19" s="159" t="s">
        <v>124</v>
      </c>
      <c r="C19" s="159" t="s">
        <v>155</v>
      </c>
      <c r="D19" s="25">
        <v>39000</v>
      </c>
      <c r="E19" s="25">
        <v>0</v>
      </c>
      <c r="F19" s="25">
        <f t="shared" si="0"/>
        <v>39000</v>
      </c>
      <c r="G19" s="25"/>
    </row>
    <row r="20" spans="1:7">
      <c r="A20" s="159" t="s">
        <v>156</v>
      </c>
      <c r="B20" s="159" t="s">
        <v>124</v>
      </c>
      <c r="C20" s="159" t="s">
        <v>157</v>
      </c>
      <c r="D20" s="25">
        <v>1029000</v>
      </c>
      <c r="E20" s="25">
        <v>0</v>
      </c>
      <c r="F20" s="25">
        <f t="shared" si="0"/>
        <v>1029000</v>
      </c>
      <c r="G20" s="25"/>
    </row>
    <row r="21" spans="1:7">
      <c r="A21" s="159" t="s">
        <v>158</v>
      </c>
      <c r="B21" s="159" t="s">
        <v>124</v>
      </c>
      <c r="C21" s="159" t="s">
        <v>159</v>
      </c>
      <c r="D21" s="25">
        <v>934000</v>
      </c>
      <c r="E21" s="25">
        <v>0</v>
      </c>
      <c r="F21" s="25">
        <f t="shared" si="0"/>
        <v>934000</v>
      </c>
      <c r="G21" s="25"/>
    </row>
    <row r="22" spans="1:7">
      <c r="A22" s="159" t="s">
        <v>160</v>
      </c>
      <c r="B22" s="159" t="s">
        <v>124</v>
      </c>
      <c r="C22" s="159" t="s">
        <v>161</v>
      </c>
      <c r="D22" s="25">
        <v>790000</v>
      </c>
      <c r="E22" s="25">
        <v>0</v>
      </c>
      <c r="F22" s="25">
        <f t="shared" si="0"/>
        <v>790000</v>
      </c>
      <c r="G22" s="25"/>
    </row>
    <row r="23" spans="1:7">
      <c r="A23" s="159" t="s">
        <v>162</v>
      </c>
      <c r="B23" s="159" t="s">
        <v>124</v>
      </c>
      <c r="C23" s="159" t="s">
        <v>163</v>
      </c>
      <c r="D23" s="25">
        <v>110000</v>
      </c>
      <c r="E23" s="25">
        <v>0</v>
      </c>
      <c r="F23" s="25">
        <f t="shared" si="0"/>
        <v>110000</v>
      </c>
      <c r="G23" s="25"/>
    </row>
    <row r="24" spans="1:7">
      <c r="A24" s="159" t="s">
        <v>164</v>
      </c>
      <c r="B24" s="159" t="s">
        <v>124</v>
      </c>
      <c r="C24" s="159" t="s">
        <v>165</v>
      </c>
      <c r="D24" s="25">
        <v>119000</v>
      </c>
      <c r="E24" s="25">
        <v>0</v>
      </c>
      <c r="F24" s="25">
        <f t="shared" si="0"/>
        <v>119000</v>
      </c>
      <c r="G24" s="25"/>
    </row>
    <row r="25" spans="1:7">
      <c r="A25" s="159" t="s">
        <v>166</v>
      </c>
      <c r="B25" s="159" t="s">
        <v>124</v>
      </c>
      <c r="C25" s="159" t="s">
        <v>165</v>
      </c>
      <c r="D25" s="25">
        <v>154000</v>
      </c>
      <c r="E25" s="25">
        <v>0</v>
      </c>
      <c r="F25" s="25">
        <f t="shared" si="0"/>
        <v>154000</v>
      </c>
      <c r="G25" s="25"/>
    </row>
    <row r="26" spans="1:7">
      <c r="A26" s="159" t="s">
        <v>167</v>
      </c>
      <c r="B26" s="159" t="s">
        <v>124</v>
      </c>
      <c r="C26" s="159" t="s">
        <v>165</v>
      </c>
      <c r="D26" s="25">
        <v>326000</v>
      </c>
      <c r="E26" s="25">
        <v>0</v>
      </c>
      <c r="F26" s="25">
        <f t="shared" si="0"/>
        <v>326000</v>
      </c>
      <c r="G26" s="25"/>
    </row>
    <row r="27" spans="1:7">
      <c r="A27" s="159" t="s">
        <v>168</v>
      </c>
      <c r="B27" s="159" t="s">
        <v>124</v>
      </c>
      <c r="C27" s="159" t="s">
        <v>165</v>
      </c>
      <c r="D27" s="25">
        <v>515000</v>
      </c>
      <c r="E27" s="25">
        <v>0</v>
      </c>
      <c r="F27" s="25">
        <f t="shared" si="0"/>
        <v>515000</v>
      </c>
      <c r="G27" s="25"/>
    </row>
    <row r="28" spans="1:7">
      <c r="A28" s="159" t="s">
        <v>169</v>
      </c>
      <c r="B28" s="159" t="s">
        <v>124</v>
      </c>
      <c r="C28" s="159" t="s">
        <v>170</v>
      </c>
      <c r="D28" s="25">
        <v>297000</v>
      </c>
      <c r="E28" s="25">
        <v>0</v>
      </c>
      <c r="F28" s="25">
        <f t="shared" si="0"/>
        <v>297000</v>
      </c>
      <c r="G28" s="25"/>
    </row>
    <row r="29" spans="1:7">
      <c r="A29" s="159" t="s">
        <v>171</v>
      </c>
      <c r="B29" s="159" t="s">
        <v>124</v>
      </c>
      <c r="C29" s="159" t="s">
        <v>172</v>
      </c>
      <c r="D29" s="25">
        <v>803000</v>
      </c>
      <c r="E29" s="25">
        <v>0</v>
      </c>
      <c r="F29" s="25">
        <f t="shared" si="0"/>
        <v>803000</v>
      </c>
      <c r="G29" s="25"/>
    </row>
    <row r="30" spans="1:7">
      <c r="A30" s="159" t="s">
        <v>173</v>
      </c>
      <c r="B30" s="159" t="s">
        <v>124</v>
      </c>
      <c r="C30" s="159" t="s">
        <v>174</v>
      </c>
      <c r="D30" s="25">
        <v>299000</v>
      </c>
      <c r="E30" s="25">
        <v>0</v>
      </c>
      <c r="F30" s="25">
        <f t="shared" si="0"/>
        <v>299000</v>
      </c>
      <c r="G30" s="25"/>
    </row>
    <row r="31" spans="1:7">
      <c r="A31" s="159" t="s">
        <v>175</v>
      </c>
      <c r="B31" s="159" t="s">
        <v>124</v>
      </c>
      <c r="C31" s="159" t="s">
        <v>176</v>
      </c>
      <c r="D31" s="25">
        <v>114000</v>
      </c>
      <c r="E31" s="25">
        <v>0</v>
      </c>
      <c r="F31" s="25">
        <f t="shared" si="0"/>
        <v>114000</v>
      </c>
      <c r="G31" s="25"/>
    </row>
    <row r="32" spans="1:7">
      <c r="A32" s="159" t="s">
        <v>177</v>
      </c>
      <c r="B32" s="159" t="s">
        <v>124</v>
      </c>
      <c r="C32" s="159" t="s">
        <v>178</v>
      </c>
      <c r="D32" s="25">
        <v>895000</v>
      </c>
      <c r="E32" s="25">
        <v>0</v>
      </c>
      <c r="F32" s="25">
        <f t="shared" si="0"/>
        <v>895000</v>
      </c>
      <c r="G32" s="25"/>
    </row>
    <row r="33" spans="1:7">
      <c r="A33" s="159" t="s">
        <v>179</v>
      </c>
      <c r="B33" s="159" t="s">
        <v>124</v>
      </c>
      <c r="C33" s="159" t="s">
        <v>180</v>
      </c>
      <c r="D33" s="25">
        <v>114000</v>
      </c>
      <c r="E33" s="25">
        <v>0</v>
      </c>
      <c r="F33" s="25">
        <f t="shared" si="0"/>
        <v>114000</v>
      </c>
      <c r="G33" s="25"/>
    </row>
    <row r="34" spans="1:7">
      <c r="A34" s="159" t="s">
        <v>181</v>
      </c>
      <c r="B34" s="159" t="s">
        <v>124</v>
      </c>
      <c r="C34" s="159" t="s">
        <v>182</v>
      </c>
      <c r="D34" s="25">
        <v>94000</v>
      </c>
      <c r="E34" s="25">
        <v>0</v>
      </c>
      <c r="F34" s="25">
        <f t="shared" si="0"/>
        <v>94000</v>
      </c>
      <c r="G34" s="25"/>
    </row>
    <row r="35" spans="1:7">
      <c r="A35" s="159" t="s">
        <v>183</v>
      </c>
      <c r="B35" s="159" t="s">
        <v>124</v>
      </c>
      <c r="C35" s="159" t="s">
        <v>184</v>
      </c>
      <c r="D35" s="25">
        <v>130000</v>
      </c>
      <c r="E35" s="25">
        <v>0</v>
      </c>
      <c r="F35" s="25">
        <f t="shared" si="0"/>
        <v>130000</v>
      </c>
      <c r="G35" s="25"/>
    </row>
    <row r="36" spans="1:7">
      <c r="A36" s="159" t="s">
        <v>185</v>
      </c>
      <c r="B36" s="159" t="s">
        <v>124</v>
      </c>
      <c r="C36" s="159" t="s">
        <v>186</v>
      </c>
      <c r="D36" s="25">
        <v>420000</v>
      </c>
      <c r="E36" s="25">
        <v>0</v>
      </c>
      <c r="F36" s="25">
        <f t="shared" si="0"/>
        <v>420000</v>
      </c>
      <c r="G36" s="25"/>
    </row>
    <row r="37" spans="1:7">
      <c r="A37" s="159" t="s">
        <v>187</v>
      </c>
      <c r="B37" s="159" t="s">
        <v>124</v>
      </c>
      <c r="C37" s="159" t="s">
        <v>188</v>
      </c>
      <c r="D37" s="25">
        <v>916000</v>
      </c>
      <c r="E37" s="25">
        <v>0</v>
      </c>
      <c r="F37" s="25">
        <f t="shared" si="0"/>
        <v>916000</v>
      </c>
      <c r="G37" s="25"/>
    </row>
    <row r="38" spans="1:7">
      <c r="A38" s="159" t="s">
        <v>189</v>
      </c>
      <c r="B38" s="159" t="s">
        <v>124</v>
      </c>
      <c r="C38" s="159" t="s">
        <v>190</v>
      </c>
      <c r="D38" s="25">
        <v>1025000</v>
      </c>
      <c r="E38" s="25">
        <v>0</v>
      </c>
      <c r="F38" s="25">
        <f t="shared" si="0"/>
        <v>1025000</v>
      </c>
      <c r="G38" s="25"/>
    </row>
    <row r="39" spans="1:7">
      <c r="A39" s="159" t="s">
        <v>191</v>
      </c>
      <c r="B39" s="159" t="s">
        <v>124</v>
      </c>
      <c r="C39" s="159" t="s">
        <v>192</v>
      </c>
      <c r="D39" s="25">
        <v>108000</v>
      </c>
      <c r="E39" s="25">
        <v>0</v>
      </c>
      <c r="F39" s="25">
        <f t="shared" si="0"/>
        <v>108000</v>
      </c>
      <c r="G39" s="25"/>
    </row>
    <row r="40" spans="1:7">
      <c r="A40" s="159" t="s">
        <v>193</v>
      </c>
      <c r="B40" s="159" t="s">
        <v>124</v>
      </c>
      <c r="C40" s="159" t="s">
        <v>194</v>
      </c>
      <c r="D40" s="25">
        <v>246000</v>
      </c>
      <c r="E40" s="25">
        <v>0</v>
      </c>
      <c r="F40" s="25">
        <f t="shared" si="0"/>
        <v>246000</v>
      </c>
      <c r="G40" s="25"/>
    </row>
    <row r="41" spans="1:7">
      <c r="A41" s="159" t="s">
        <v>195</v>
      </c>
      <c r="B41" s="159" t="s">
        <v>124</v>
      </c>
      <c r="C41" s="159" t="s">
        <v>196</v>
      </c>
      <c r="D41" s="25">
        <v>1744000</v>
      </c>
      <c r="E41" s="25">
        <v>0</v>
      </c>
      <c r="F41" s="25">
        <f t="shared" si="0"/>
        <v>1744000</v>
      </c>
      <c r="G41" s="25"/>
    </row>
    <row r="42" spans="1:7">
      <c r="A42" s="159" t="s">
        <v>197</v>
      </c>
      <c r="B42" s="159" t="s">
        <v>124</v>
      </c>
      <c r="C42" s="159" t="s">
        <v>198</v>
      </c>
      <c r="D42" s="25">
        <v>582000</v>
      </c>
      <c r="E42" s="25">
        <v>0</v>
      </c>
      <c r="F42" s="25">
        <f t="shared" si="0"/>
        <v>582000</v>
      </c>
      <c r="G42" s="25"/>
    </row>
    <row r="43" spans="1:7">
      <c r="A43" s="159" t="s">
        <v>199</v>
      </c>
      <c r="B43" s="159" t="s">
        <v>124</v>
      </c>
      <c r="C43" s="159" t="s">
        <v>200</v>
      </c>
      <c r="D43" s="25">
        <v>1141000</v>
      </c>
      <c r="E43" s="25">
        <v>0</v>
      </c>
      <c r="F43" s="25">
        <f t="shared" si="0"/>
        <v>1141000</v>
      </c>
      <c r="G43" s="25"/>
    </row>
    <row r="44" spans="1:7">
      <c r="A44" s="159" t="s">
        <v>201</v>
      </c>
      <c r="B44" s="159" t="s">
        <v>124</v>
      </c>
      <c r="C44" s="159" t="s">
        <v>202</v>
      </c>
      <c r="D44" s="25">
        <v>268000</v>
      </c>
      <c r="E44" s="25">
        <v>0</v>
      </c>
      <c r="F44" s="25">
        <f t="shared" si="0"/>
        <v>268000</v>
      </c>
      <c r="G44" s="25"/>
    </row>
    <row r="45" spans="1:7">
      <c r="A45" s="159" t="s">
        <v>203</v>
      </c>
      <c r="B45" s="159" t="s">
        <v>124</v>
      </c>
      <c r="C45" s="159" t="s">
        <v>204</v>
      </c>
      <c r="D45" s="25">
        <v>82000</v>
      </c>
      <c r="E45" s="25">
        <v>0</v>
      </c>
      <c r="F45" s="25">
        <f t="shared" si="0"/>
        <v>82000</v>
      </c>
      <c r="G45" s="25"/>
    </row>
    <row r="46" spans="1:7">
      <c r="A46" s="159" t="s">
        <v>205</v>
      </c>
      <c r="B46" s="159" t="s">
        <v>124</v>
      </c>
      <c r="C46" s="159" t="s">
        <v>206</v>
      </c>
      <c r="D46" s="25">
        <v>265000</v>
      </c>
      <c r="E46" s="25">
        <v>0</v>
      </c>
      <c r="F46" s="25">
        <f t="shared" si="0"/>
        <v>265000</v>
      </c>
      <c r="G46" s="25"/>
    </row>
    <row r="47" spans="1:7">
      <c r="A47" s="159" t="s">
        <v>207</v>
      </c>
      <c r="B47" s="159" t="s">
        <v>124</v>
      </c>
      <c r="C47" s="159" t="s">
        <v>208</v>
      </c>
      <c r="D47" s="25">
        <v>262000</v>
      </c>
      <c r="E47" s="25">
        <v>0</v>
      </c>
      <c r="F47" s="25">
        <f t="shared" si="0"/>
        <v>262000</v>
      </c>
      <c r="G47" s="25"/>
    </row>
    <row r="48" spans="1:7">
      <c r="A48" s="159" t="s">
        <v>209</v>
      </c>
      <c r="B48" s="159" t="s">
        <v>124</v>
      </c>
      <c r="C48" s="159" t="s">
        <v>210</v>
      </c>
      <c r="D48" s="25">
        <v>1304000</v>
      </c>
      <c r="E48" s="25">
        <v>0</v>
      </c>
      <c r="F48" s="25">
        <f t="shared" si="0"/>
        <v>1304000</v>
      </c>
      <c r="G48" s="25"/>
    </row>
    <row r="49" spans="1:7">
      <c r="A49" s="159" t="s">
        <v>211</v>
      </c>
      <c r="B49" s="159" t="s">
        <v>124</v>
      </c>
      <c r="C49" s="159" t="s">
        <v>212</v>
      </c>
      <c r="D49" s="25">
        <v>860000</v>
      </c>
      <c r="E49" s="25">
        <v>0</v>
      </c>
      <c r="F49" s="25">
        <f t="shared" si="0"/>
        <v>860000</v>
      </c>
      <c r="G49" s="25"/>
    </row>
    <row r="50" spans="1:7">
      <c r="A50" s="159" t="s">
        <v>213</v>
      </c>
      <c r="B50" s="159" t="s">
        <v>124</v>
      </c>
      <c r="C50" s="159" t="s">
        <v>214</v>
      </c>
      <c r="D50" s="25">
        <v>50000</v>
      </c>
      <c r="E50" s="25">
        <v>0</v>
      </c>
      <c r="F50" s="25">
        <f t="shared" si="0"/>
        <v>50000</v>
      </c>
      <c r="G50" s="25"/>
    </row>
    <row r="51" spans="1:7">
      <c r="A51" s="159" t="s">
        <v>215</v>
      </c>
      <c r="B51" s="159" t="s">
        <v>124</v>
      </c>
      <c r="C51" s="159" t="s">
        <v>216</v>
      </c>
      <c r="D51" s="25">
        <v>1816000</v>
      </c>
      <c r="E51" s="25">
        <v>0</v>
      </c>
      <c r="F51" s="25">
        <f t="shared" si="0"/>
        <v>1816000</v>
      </c>
      <c r="G51" s="25"/>
    </row>
    <row r="52" spans="1:7">
      <c r="A52" s="159" t="s">
        <v>217</v>
      </c>
      <c r="B52" s="159" t="s">
        <v>124</v>
      </c>
      <c r="C52" s="159" t="s">
        <v>218</v>
      </c>
      <c r="D52" s="25">
        <v>145000</v>
      </c>
      <c r="E52" s="25">
        <v>0</v>
      </c>
      <c r="F52" s="25">
        <f t="shared" si="0"/>
        <v>145000</v>
      </c>
      <c r="G52" s="25"/>
    </row>
    <row r="53" spans="1:7">
      <c r="A53" s="159" t="s">
        <v>219</v>
      </c>
      <c r="B53" s="159" t="s">
        <v>124</v>
      </c>
      <c r="C53" s="159" t="s">
        <v>220</v>
      </c>
      <c r="D53" s="25">
        <v>1000000</v>
      </c>
      <c r="E53" s="25">
        <v>0</v>
      </c>
      <c r="F53" s="25">
        <f t="shared" si="0"/>
        <v>1000000</v>
      </c>
      <c r="G53" s="25"/>
    </row>
    <row r="54" spans="1:7">
      <c r="A54" s="159" t="s">
        <v>221</v>
      </c>
      <c r="B54" s="159" t="s">
        <v>124</v>
      </c>
      <c r="C54" s="159" t="s">
        <v>222</v>
      </c>
      <c r="D54" s="25">
        <v>495000</v>
      </c>
      <c r="E54" s="25">
        <v>0</v>
      </c>
      <c r="F54" s="25">
        <f t="shared" si="0"/>
        <v>495000</v>
      </c>
      <c r="G54" s="25"/>
    </row>
    <row r="55" spans="1:7">
      <c r="A55" s="159" t="s">
        <v>223</v>
      </c>
      <c r="B55" s="159" t="s">
        <v>124</v>
      </c>
      <c r="C55" s="159" t="s">
        <v>224</v>
      </c>
      <c r="D55" s="25">
        <v>957000</v>
      </c>
      <c r="E55" s="25">
        <v>0</v>
      </c>
      <c r="F55" s="25">
        <f t="shared" si="0"/>
        <v>957000</v>
      </c>
      <c r="G55" s="25"/>
    </row>
    <row r="56" spans="1:7">
      <c r="A56" s="159" t="s">
        <v>225</v>
      </c>
      <c r="B56" s="159" t="s">
        <v>124</v>
      </c>
      <c r="C56" s="159" t="s">
        <v>226</v>
      </c>
      <c r="D56" s="25">
        <v>50000</v>
      </c>
      <c r="E56" s="25">
        <v>0</v>
      </c>
      <c r="F56" s="25">
        <f t="shared" si="0"/>
        <v>50000</v>
      </c>
      <c r="G56" s="25"/>
    </row>
    <row r="57" spans="1:7">
      <c r="A57" s="159" t="s">
        <v>227</v>
      </c>
      <c r="B57" s="159" t="s">
        <v>124</v>
      </c>
      <c r="C57" s="159" t="s">
        <v>228</v>
      </c>
      <c r="D57" s="25">
        <v>105000</v>
      </c>
      <c r="E57" s="25">
        <v>0</v>
      </c>
      <c r="F57" s="25">
        <f t="shared" si="0"/>
        <v>105000</v>
      </c>
      <c r="G57" s="25"/>
    </row>
    <row r="58" spans="1:7">
      <c r="A58" s="159" t="s">
        <v>229</v>
      </c>
      <c r="B58" s="159" t="s">
        <v>124</v>
      </c>
      <c r="C58" s="159" t="s">
        <v>230</v>
      </c>
      <c r="D58" s="25">
        <v>127000</v>
      </c>
      <c r="E58" s="25">
        <v>0</v>
      </c>
      <c r="F58" s="25">
        <f t="shared" si="0"/>
        <v>127000</v>
      </c>
      <c r="G58" s="25"/>
    </row>
    <row r="59" spans="1:7">
      <c r="A59" s="159" t="s">
        <v>231</v>
      </c>
      <c r="B59" s="159" t="s">
        <v>124</v>
      </c>
      <c r="C59" s="159" t="s">
        <v>232</v>
      </c>
      <c r="D59" s="25">
        <v>142000</v>
      </c>
      <c r="E59" s="25">
        <v>0</v>
      </c>
      <c r="F59" s="25">
        <f t="shared" si="0"/>
        <v>142000</v>
      </c>
      <c r="G59" s="25"/>
    </row>
    <row r="60" spans="1:7">
      <c r="A60" s="159" t="s">
        <v>233</v>
      </c>
      <c r="B60" s="159" t="s">
        <v>124</v>
      </c>
      <c r="C60" s="159" t="s">
        <v>234</v>
      </c>
      <c r="D60" s="25">
        <v>157000</v>
      </c>
      <c r="E60" s="25">
        <v>0</v>
      </c>
      <c r="F60" s="25">
        <f t="shared" si="0"/>
        <v>157000</v>
      </c>
      <c r="G60" s="25"/>
    </row>
    <row r="61" spans="1:7">
      <c r="A61" s="159" t="s">
        <v>235</v>
      </c>
      <c r="B61" s="159" t="s">
        <v>124</v>
      </c>
      <c r="C61" s="159" t="s">
        <v>236</v>
      </c>
      <c r="D61" s="25">
        <v>161000</v>
      </c>
      <c r="E61" s="25">
        <v>0</v>
      </c>
      <c r="F61" s="25">
        <f t="shared" si="0"/>
        <v>161000</v>
      </c>
      <c r="G61" s="25"/>
    </row>
    <row r="62" spans="1:7">
      <c r="A62" s="159" t="s">
        <v>237</v>
      </c>
      <c r="B62" s="159" t="s">
        <v>124</v>
      </c>
      <c r="C62" s="159" t="s">
        <v>238</v>
      </c>
      <c r="D62" s="25">
        <v>128000</v>
      </c>
      <c r="E62" s="25">
        <v>0</v>
      </c>
      <c r="F62" s="25">
        <f t="shared" si="0"/>
        <v>128000</v>
      </c>
      <c r="G62" s="25"/>
    </row>
    <row r="63" spans="1:7">
      <c r="A63" s="159" t="s">
        <v>239</v>
      </c>
      <c r="B63" s="159" t="s">
        <v>124</v>
      </c>
      <c r="C63" s="159" t="s">
        <v>240</v>
      </c>
      <c r="D63" s="25">
        <v>281000</v>
      </c>
      <c r="E63" s="25">
        <v>0</v>
      </c>
      <c r="F63" s="25">
        <f t="shared" si="0"/>
        <v>281000</v>
      </c>
      <c r="G63" s="25"/>
    </row>
    <row r="64" spans="1:7">
      <c r="A64" s="159" t="s">
        <v>241</v>
      </c>
      <c r="B64" s="159" t="s">
        <v>124</v>
      </c>
      <c r="C64" s="159" t="s">
        <v>242</v>
      </c>
      <c r="D64" s="25">
        <v>119000</v>
      </c>
      <c r="E64" s="25">
        <v>0</v>
      </c>
      <c r="F64" s="25">
        <f t="shared" si="0"/>
        <v>119000</v>
      </c>
      <c r="G64" s="25"/>
    </row>
    <row r="65" spans="1:7">
      <c r="A65" s="159" t="s">
        <v>243</v>
      </c>
      <c r="B65" s="159" t="s">
        <v>124</v>
      </c>
      <c r="C65" s="159" t="s">
        <v>244</v>
      </c>
      <c r="D65" s="25">
        <v>27000</v>
      </c>
      <c r="E65" s="25">
        <v>0</v>
      </c>
      <c r="F65" s="25">
        <f t="shared" si="0"/>
        <v>27000</v>
      </c>
      <c r="G65" s="25"/>
    </row>
    <row r="66" spans="1:7">
      <c r="A66" s="159" t="s">
        <v>245</v>
      </c>
      <c r="B66" s="159" t="s">
        <v>124</v>
      </c>
      <c r="C66" s="159" t="s">
        <v>246</v>
      </c>
      <c r="D66" s="25">
        <v>163000</v>
      </c>
      <c r="E66" s="25">
        <v>0</v>
      </c>
      <c r="F66" s="25">
        <f t="shared" si="0"/>
        <v>163000</v>
      </c>
      <c r="G66" s="25"/>
    </row>
    <row r="67" spans="1:7">
      <c r="A67" s="159" t="s">
        <v>247</v>
      </c>
      <c r="B67" s="159" t="s">
        <v>124</v>
      </c>
      <c r="C67" s="159" t="s">
        <v>248</v>
      </c>
      <c r="D67" s="25">
        <v>27000</v>
      </c>
      <c r="E67" s="25">
        <v>0</v>
      </c>
      <c r="F67" s="25">
        <f t="shared" si="0"/>
        <v>27000</v>
      </c>
      <c r="G67" s="25"/>
    </row>
    <row r="68" spans="1:7">
      <c r="A68" s="159" t="s">
        <v>249</v>
      </c>
      <c r="B68" s="159" t="s">
        <v>124</v>
      </c>
      <c r="C68" s="159" t="s">
        <v>250</v>
      </c>
      <c r="D68" s="25">
        <v>45000</v>
      </c>
      <c r="E68" s="25">
        <v>0</v>
      </c>
      <c r="F68" s="25">
        <f t="shared" ref="F68:F131" si="1">D68-E68</f>
        <v>45000</v>
      </c>
      <c r="G68" s="25"/>
    </row>
    <row r="69" spans="1:7">
      <c r="A69" s="159" t="s">
        <v>251</v>
      </c>
      <c r="B69" s="159" t="s">
        <v>124</v>
      </c>
      <c r="C69" s="159" t="s">
        <v>252</v>
      </c>
      <c r="D69" s="25">
        <v>32000</v>
      </c>
      <c r="E69" s="25">
        <v>0</v>
      </c>
      <c r="F69" s="25">
        <f t="shared" si="1"/>
        <v>32000</v>
      </c>
      <c r="G69" s="25"/>
    </row>
    <row r="70" spans="1:7">
      <c r="A70" s="159" t="s">
        <v>253</v>
      </c>
      <c r="B70" s="159" t="s">
        <v>124</v>
      </c>
      <c r="C70" s="159" t="s">
        <v>254</v>
      </c>
      <c r="D70" s="25">
        <v>30000</v>
      </c>
      <c r="E70" s="25">
        <v>0</v>
      </c>
      <c r="F70" s="25">
        <f t="shared" si="1"/>
        <v>30000</v>
      </c>
      <c r="G70" s="25"/>
    </row>
    <row r="71" spans="1:7">
      <c r="A71" s="159" t="s">
        <v>255</v>
      </c>
      <c r="B71" s="159" t="s">
        <v>124</v>
      </c>
      <c r="C71" s="159" t="s">
        <v>256</v>
      </c>
      <c r="D71" s="25">
        <v>617000</v>
      </c>
      <c r="E71" s="25">
        <v>0</v>
      </c>
      <c r="F71" s="25">
        <f t="shared" si="1"/>
        <v>617000</v>
      </c>
      <c r="G71" s="25"/>
    </row>
    <row r="72" spans="1:7">
      <c r="A72" s="159" t="s">
        <v>257</v>
      </c>
      <c r="B72" s="159" t="s">
        <v>124</v>
      </c>
      <c r="C72" s="159" t="s">
        <v>258</v>
      </c>
      <c r="D72" s="25">
        <v>674000</v>
      </c>
      <c r="E72" s="25">
        <v>0</v>
      </c>
      <c r="F72" s="25">
        <f t="shared" si="1"/>
        <v>674000</v>
      </c>
      <c r="G72" s="25"/>
    </row>
    <row r="73" spans="1:7">
      <c r="A73" s="159" t="s">
        <v>259</v>
      </c>
      <c r="B73" s="159" t="s">
        <v>124</v>
      </c>
      <c r="C73" s="159" t="s">
        <v>260</v>
      </c>
      <c r="D73" s="25">
        <v>139000</v>
      </c>
      <c r="E73" s="25">
        <v>0</v>
      </c>
      <c r="F73" s="25">
        <f t="shared" si="1"/>
        <v>139000</v>
      </c>
      <c r="G73" s="25"/>
    </row>
    <row r="74" spans="1:7">
      <c r="A74" s="159" t="s">
        <v>261</v>
      </c>
      <c r="B74" s="159" t="s">
        <v>124</v>
      </c>
      <c r="C74" s="159" t="s">
        <v>262</v>
      </c>
      <c r="D74" s="25">
        <v>52000</v>
      </c>
      <c r="E74" s="25">
        <v>0</v>
      </c>
      <c r="F74" s="25">
        <f t="shared" si="1"/>
        <v>52000</v>
      </c>
      <c r="G74" s="25"/>
    </row>
    <row r="75" spans="1:7">
      <c r="A75" s="159" t="s">
        <v>263</v>
      </c>
      <c r="B75" s="159" t="s">
        <v>124</v>
      </c>
      <c r="C75" s="159" t="s">
        <v>264</v>
      </c>
      <c r="D75" s="25">
        <v>131000</v>
      </c>
      <c r="E75" s="25">
        <v>0</v>
      </c>
      <c r="F75" s="25">
        <f t="shared" si="1"/>
        <v>131000</v>
      </c>
      <c r="G75" s="25"/>
    </row>
    <row r="76" spans="1:7">
      <c r="A76" s="159" t="s">
        <v>265</v>
      </c>
      <c r="B76" s="159" t="s">
        <v>124</v>
      </c>
      <c r="C76" s="159" t="s">
        <v>266</v>
      </c>
      <c r="D76" s="25">
        <v>278000</v>
      </c>
      <c r="E76" s="25">
        <v>0</v>
      </c>
      <c r="F76" s="25">
        <f t="shared" si="1"/>
        <v>278000</v>
      </c>
      <c r="G76" s="25"/>
    </row>
    <row r="77" spans="1:7">
      <c r="A77" s="159" t="s">
        <v>267</v>
      </c>
      <c r="B77" s="159" t="s">
        <v>124</v>
      </c>
      <c r="C77" s="159" t="s">
        <v>268</v>
      </c>
      <c r="D77" s="25">
        <v>342000</v>
      </c>
      <c r="E77" s="25">
        <v>0</v>
      </c>
      <c r="F77" s="25">
        <f t="shared" si="1"/>
        <v>342000</v>
      </c>
      <c r="G77" s="25"/>
    </row>
    <row r="78" spans="1:7">
      <c r="A78" s="159" t="s">
        <v>269</v>
      </c>
      <c r="B78" s="159" t="s">
        <v>124</v>
      </c>
      <c r="C78" s="159" t="s">
        <v>270</v>
      </c>
      <c r="D78" s="25">
        <v>551000</v>
      </c>
      <c r="E78" s="25">
        <v>0</v>
      </c>
      <c r="F78" s="25">
        <f t="shared" si="1"/>
        <v>551000</v>
      </c>
      <c r="G78" s="25"/>
    </row>
    <row r="79" spans="1:7">
      <c r="A79" s="159" t="s">
        <v>271</v>
      </c>
      <c r="B79" s="159" t="s">
        <v>124</v>
      </c>
      <c r="C79" s="159" t="s">
        <v>272</v>
      </c>
      <c r="D79" s="25">
        <v>435000</v>
      </c>
      <c r="E79" s="25">
        <v>0</v>
      </c>
      <c r="F79" s="25">
        <f t="shared" si="1"/>
        <v>435000</v>
      </c>
      <c r="G79" s="25"/>
    </row>
    <row r="80" spans="1:7">
      <c r="A80" s="159" t="s">
        <v>273</v>
      </c>
      <c r="B80" s="159" t="s">
        <v>124</v>
      </c>
      <c r="C80" s="159" t="s">
        <v>274</v>
      </c>
      <c r="D80" s="25">
        <v>1397000</v>
      </c>
      <c r="E80" s="25">
        <v>0</v>
      </c>
      <c r="F80" s="25">
        <f t="shared" si="1"/>
        <v>1397000</v>
      </c>
      <c r="G80" s="25"/>
    </row>
    <row r="81" spans="1:7">
      <c r="A81" s="159" t="s">
        <v>275</v>
      </c>
      <c r="B81" s="159" t="s">
        <v>124</v>
      </c>
      <c r="C81" s="159" t="s">
        <v>276</v>
      </c>
      <c r="D81" s="25">
        <v>113000</v>
      </c>
      <c r="E81" s="25">
        <v>0</v>
      </c>
      <c r="F81" s="25">
        <f t="shared" si="1"/>
        <v>113000</v>
      </c>
      <c r="G81" s="25"/>
    </row>
    <row r="82" spans="1:7">
      <c r="A82" s="159" t="s">
        <v>277</v>
      </c>
      <c r="B82" s="159" t="s">
        <v>124</v>
      </c>
      <c r="C82" s="159" t="s">
        <v>278</v>
      </c>
      <c r="D82" s="25">
        <v>1210000</v>
      </c>
      <c r="E82" s="25">
        <v>0</v>
      </c>
      <c r="F82" s="25">
        <f t="shared" si="1"/>
        <v>1210000</v>
      </c>
      <c r="G82" s="25"/>
    </row>
    <row r="83" spans="1:7">
      <c r="A83" s="159" t="s">
        <v>279</v>
      </c>
      <c r="B83" s="159" t="s">
        <v>124</v>
      </c>
      <c r="C83" s="159" t="s">
        <v>280</v>
      </c>
      <c r="D83" s="25">
        <v>500000</v>
      </c>
      <c r="E83" s="25">
        <v>0</v>
      </c>
      <c r="F83" s="25">
        <f t="shared" si="1"/>
        <v>500000</v>
      </c>
      <c r="G83" s="25"/>
    </row>
    <row r="84" spans="1:7">
      <c r="A84" s="159" t="s">
        <v>281</v>
      </c>
      <c r="B84" s="159" t="s">
        <v>124</v>
      </c>
      <c r="C84" s="159" t="s">
        <v>282</v>
      </c>
      <c r="D84" s="25">
        <v>250000</v>
      </c>
      <c r="E84" s="25">
        <v>0</v>
      </c>
      <c r="F84" s="25">
        <f t="shared" si="1"/>
        <v>250000</v>
      </c>
      <c r="G84" s="25"/>
    </row>
    <row r="85" spans="1:7">
      <c r="A85" s="159" t="s">
        <v>283</v>
      </c>
      <c r="B85" s="159" t="s">
        <v>124</v>
      </c>
      <c r="C85" s="159" t="s">
        <v>284</v>
      </c>
      <c r="D85" s="25">
        <v>168000</v>
      </c>
      <c r="E85" s="25">
        <v>0</v>
      </c>
      <c r="F85" s="25">
        <f t="shared" si="1"/>
        <v>168000</v>
      </c>
      <c r="G85" s="25"/>
    </row>
    <row r="86" spans="1:7">
      <c r="A86" s="159" t="s">
        <v>285</v>
      </c>
      <c r="B86" s="159" t="s">
        <v>124</v>
      </c>
      <c r="C86" s="159" t="s">
        <v>284</v>
      </c>
      <c r="D86" s="25">
        <v>163000</v>
      </c>
      <c r="E86" s="25">
        <v>0</v>
      </c>
      <c r="F86" s="25">
        <f t="shared" si="1"/>
        <v>163000</v>
      </c>
      <c r="G86" s="25"/>
    </row>
    <row r="87" spans="1:7">
      <c r="A87" s="159" t="s">
        <v>286</v>
      </c>
      <c r="B87" s="159" t="s">
        <v>124</v>
      </c>
      <c r="C87" s="159" t="s">
        <v>287</v>
      </c>
      <c r="D87" s="25">
        <v>45000</v>
      </c>
      <c r="E87" s="25">
        <v>0</v>
      </c>
      <c r="F87" s="25">
        <f t="shared" si="1"/>
        <v>45000</v>
      </c>
      <c r="G87" s="25"/>
    </row>
    <row r="88" spans="1:7">
      <c r="A88" s="159" t="s">
        <v>288</v>
      </c>
      <c r="B88" s="159" t="s">
        <v>124</v>
      </c>
      <c r="C88" s="159" t="s">
        <v>289</v>
      </c>
      <c r="D88" s="25">
        <v>32000</v>
      </c>
      <c r="E88" s="25">
        <v>0</v>
      </c>
      <c r="F88" s="25">
        <f t="shared" si="1"/>
        <v>32000</v>
      </c>
      <c r="G88" s="25"/>
    </row>
    <row r="89" spans="1:7">
      <c r="A89" s="159" t="s">
        <v>290</v>
      </c>
      <c r="B89" s="159" t="s">
        <v>124</v>
      </c>
      <c r="C89" s="159" t="s">
        <v>289</v>
      </c>
      <c r="D89" s="25">
        <v>5000</v>
      </c>
      <c r="E89" s="25">
        <v>0</v>
      </c>
      <c r="F89" s="25">
        <f t="shared" si="1"/>
        <v>5000</v>
      </c>
      <c r="G89" s="25"/>
    </row>
    <row r="90" spans="1:7">
      <c r="A90" s="159" t="s">
        <v>291</v>
      </c>
      <c r="B90" s="159" t="s">
        <v>124</v>
      </c>
      <c r="C90" s="159" t="s">
        <v>289</v>
      </c>
      <c r="D90" s="25">
        <v>33000</v>
      </c>
      <c r="E90" s="25">
        <v>0</v>
      </c>
      <c r="F90" s="25">
        <f t="shared" si="1"/>
        <v>33000</v>
      </c>
      <c r="G90" s="25"/>
    </row>
    <row r="91" spans="1:7">
      <c r="A91" s="159" t="s">
        <v>292</v>
      </c>
      <c r="B91" s="159" t="s">
        <v>124</v>
      </c>
      <c r="C91" s="159" t="s">
        <v>293</v>
      </c>
      <c r="D91" s="25">
        <v>51000</v>
      </c>
      <c r="E91" s="25">
        <v>0</v>
      </c>
      <c r="F91" s="25">
        <f t="shared" si="1"/>
        <v>51000</v>
      </c>
      <c r="G91" s="25"/>
    </row>
    <row r="92" spans="1:7">
      <c r="A92" s="159" t="s">
        <v>294</v>
      </c>
      <c r="B92" s="159" t="s">
        <v>124</v>
      </c>
      <c r="C92" s="159" t="s">
        <v>295</v>
      </c>
      <c r="D92" s="25">
        <v>77000</v>
      </c>
      <c r="E92" s="25">
        <v>0</v>
      </c>
      <c r="F92" s="25">
        <f t="shared" si="1"/>
        <v>77000</v>
      </c>
      <c r="G92" s="25"/>
    </row>
    <row r="93" spans="1:7">
      <c r="A93" s="159" t="s">
        <v>296</v>
      </c>
      <c r="B93" s="159" t="s">
        <v>124</v>
      </c>
      <c r="C93" s="159" t="s">
        <v>297</v>
      </c>
      <c r="D93" s="25">
        <v>65000</v>
      </c>
      <c r="E93" s="25">
        <v>0</v>
      </c>
      <c r="F93" s="25">
        <f t="shared" si="1"/>
        <v>65000</v>
      </c>
      <c r="G93" s="25"/>
    </row>
    <row r="94" spans="1:7">
      <c r="A94" s="159" t="s">
        <v>298</v>
      </c>
      <c r="B94" s="159" t="s">
        <v>124</v>
      </c>
      <c r="C94" s="159" t="s">
        <v>299</v>
      </c>
      <c r="D94" s="25">
        <v>3166000</v>
      </c>
      <c r="E94" s="25">
        <v>0</v>
      </c>
      <c r="F94" s="25">
        <f t="shared" si="1"/>
        <v>3166000</v>
      </c>
      <c r="G94" s="25"/>
    </row>
    <row r="95" spans="1:7">
      <c r="A95" s="159" t="s">
        <v>300</v>
      </c>
      <c r="B95" s="159" t="s">
        <v>124</v>
      </c>
      <c r="C95" s="159" t="s">
        <v>301</v>
      </c>
      <c r="D95" s="25">
        <v>123000</v>
      </c>
      <c r="E95" s="25">
        <v>0</v>
      </c>
      <c r="F95" s="25">
        <f t="shared" si="1"/>
        <v>123000</v>
      </c>
      <c r="G95" s="25"/>
    </row>
    <row r="96" spans="1:7">
      <c r="A96" s="159" t="s">
        <v>302</v>
      </c>
      <c r="B96" s="159" t="s">
        <v>124</v>
      </c>
      <c r="C96" s="159" t="s">
        <v>301</v>
      </c>
      <c r="D96" s="25">
        <v>86000</v>
      </c>
      <c r="E96" s="25">
        <v>0</v>
      </c>
      <c r="F96" s="25">
        <f t="shared" si="1"/>
        <v>86000</v>
      </c>
      <c r="G96" s="25"/>
    </row>
    <row r="97" spans="1:7">
      <c r="A97" s="159" t="s">
        <v>303</v>
      </c>
      <c r="B97" s="159" t="s">
        <v>124</v>
      </c>
      <c r="C97" s="159" t="s">
        <v>301</v>
      </c>
      <c r="D97" s="25">
        <v>3000</v>
      </c>
      <c r="E97" s="25">
        <v>0</v>
      </c>
      <c r="F97" s="25">
        <f t="shared" si="1"/>
        <v>3000</v>
      </c>
      <c r="G97" s="25"/>
    </row>
    <row r="98" spans="1:7">
      <c r="A98" s="159" t="s">
        <v>304</v>
      </c>
      <c r="B98" s="159" t="s">
        <v>124</v>
      </c>
      <c r="C98" s="159" t="s">
        <v>305</v>
      </c>
      <c r="D98" s="25">
        <v>538000</v>
      </c>
      <c r="E98" s="25">
        <v>0</v>
      </c>
      <c r="F98" s="25">
        <f t="shared" si="1"/>
        <v>538000</v>
      </c>
      <c r="G98" s="25"/>
    </row>
    <row r="99" spans="1:7">
      <c r="A99" s="159" t="s">
        <v>306</v>
      </c>
      <c r="B99" s="159" t="s">
        <v>124</v>
      </c>
      <c r="C99" s="159" t="s">
        <v>307</v>
      </c>
      <c r="D99" s="25">
        <v>340000</v>
      </c>
      <c r="E99" s="25">
        <v>0</v>
      </c>
      <c r="F99" s="25">
        <f t="shared" si="1"/>
        <v>340000</v>
      </c>
      <c r="G99" s="25"/>
    </row>
    <row r="100" spans="1:7">
      <c r="A100" s="159" t="s">
        <v>308</v>
      </c>
      <c r="B100" s="159" t="s">
        <v>124</v>
      </c>
      <c r="C100" s="159" t="s">
        <v>309</v>
      </c>
      <c r="D100" s="25">
        <v>325000</v>
      </c>
      <c r="E100" s="25">
        <v>0</v>
      </c>
      <c r="F100" s="25">
        <f t="shared" si="1"/>
        <v>325000</v>
      </c>
      <c r="G100" s="25"/>
    </row>
    <row r="101" spans="1:7">
      <c r="A101" s="159" t="s">
        <v>310</v>
      </c>
      <c r="B101" s="159" t="s">
        <v>124</v>
      </c>
      <c r="C101" s="159" t="s">
        <v>311</v>
      </c>
      <c r="D101" s="25">
        <v>328000</v>
      </c>
      <c r="E101" s="25">
        <v>0</v>
      </c>
      <c r="F101" s="25">
        <f t="shared" si="1"/>
        <v>328000</v>
      </c>
      <c r="G101" s="25"/>
    </row>
    <row r="102" spans="1:7">
      <c r="A102" s="159" t="s">
        <v>312</v>
      </c>
      <c r="B102" s="159" t="s">
        <v>124</v>
      </c>
      <c r="C102" s="159" t="s">
        <v>313</v>
      </c>
      <c r="D102" s="25">
        <v>289000</v>
      </c>
      <c r="E102" s="25">
        <v>0</v>
      </c>
      <c r="F102" s="25">
        <f t="shared" si="1"/>
        <v>289000</v>
      </c>
      <c r="G102" s="25"/>
    </row>
    <row r="103" spans="1:7">
      <c r="A103" s="159" t="s">
        <v>314</v>
      </c>
      <c r="B103" s="159" t="s">
        <v>124</v>
      </c>
      <c r="C103" s="159" t="s">
        <v>315</v>
      </c>
      <c r="D103" s="25">
        <v>92000</v>
      </c>
      <c r="E103" s="25">
        <v>0</v>
      </c>
      <c r="F103" s="25">
        <f t="shared" si="1"/>
        <v>92000</v>
      </c>
      <c r="G103" s="25"/>
    </row>
    <row r="104" spans="1:7">
      <c r="A104" s="159" t="s">
        <v>316</v>
      </c>
      <c r="B104" s="159" t="s">
        <v>124</v>
      </c>
      <c r="C104" s="159" t="s">
        <v>317</v>
      </c>
      <c r="D104" s="25">
        <v>43000</v>
      </c>
      <c r="E104" s="25">
        <v>0</v>
      </c>
      <c r="F104" s="25">
        <f t="shared" si="1"/>
        <v>43000</v>
      </c>
      <c r="G104" s="25"/>
    </row>
    <row r="105" spans="1:7">
      <c r="A105" s="159" t="s">
        <v>318</v>
      </c>
      <c r="B105" s="159" t="s">
        <v>124</v>
      </c>
      <c r="C105" s="159" t="s">
        <v>319</v>
      </c>
      <c r="D105" s="25">
        <v>13000</v>
      </c>
      <c r="E105" s="25">
        <v>0</v>
      </c>
      <c r="F105" s="25">
        <f t="shared" si="1"/>
        <v>13000</v>
      </c>
      <c r="G105" s="25"/>
    </row>
    <row r="106" spans="1:7">
      <c r="A106" s="159" t="s">
        <v>320</v>
      </c>
      <c r="B106" s="159" t="s">
        <v>124</v>
      </c>
      <c r="C106" s="159" t="s">
        <v>319</v>
      </c>
      <c r="D106" s="25">
        <v>67000</v>
      </c>
      <c r="E106" s="25">
        <v>0</v>
      </c>
      <c r="F106" s="25">
        <f t="shared" si="1"/>
        <v>67000</v>
      </c>
      <c r="G106" s="25"/>
    </row>
    <row r="107" spans="1:7">
      <c r="A107" s="159" t="s">
        <v>321</v>
      </c>
      <c r="B107" s="159" t="s">
        <v>124</v>
      </c>
      <c r="C107" s="159" t="s">
        <v>319</v>
      </c>
      <c r="D107" s="25">
        <v>51000</v>
      </c>
      <c r="E107" s="25">
        <v>0</v>
      </c>
      <c r="F107" s="25">
        <f t="shared" si="1"/>
        <v>51000</v>
      </c>
      <c r="G107" s="25"/>
    </row>
    <row r="108" spans="1:7">
      <c r="A108" s="159" t="s">
        <v>322</v>
      </c>
      <c r="B108" s="159" t="s">
        <v>124</v>
      </c>
      <c r="C108" s="159" t="s">
        <v>317</v>
      </c>
      <c r="D108" s="25">
        <v>16000</v>
      </c>
      <c r="E108" s="25">
        <v>0</v>
      </c>
      <c r="F108" s="25">
        <f t="shared" si="1"/>
        <v>16000</v>
      </c>
      <c r="G108" s="25"/>
    </row>
    <row r="109" spans="1:7">
      <c r="A109" s="159" t="s">
        <v>323</v>
      </c>
      <c r="B109" s="159" t="s">
        <v>124</v>
      </c>
      <c r="C109" s="159" t="s">
        <v>317</v>
      </c>
      <c r="D109" s="25">
        <v>8000</v>
      </c>
      <c r="E109" s="25">
        <v>0</v>
      </c>
      <c r="F109" s="25">
        <f t="shared" si="1"/>
        <v>8000</v>
      </c>
      <c r="G109" s="25"/>
    </row>
    <row r="110" spans="1:7">
      <c r="A110" s="159" t="s">
        <v>324</v>
      </c>
      <c r="B110" s="159" t="s">
        <v>124</v>
      </c>
      <c r="C110" s="159" t="s">
        <v>317</v>
      </c>
      <c r="D110" s="25">
        <v>2000</v>
      </c>
      <c r="E110" s="25">
        <v>0</v>
      </c>
      <c r="F110" s="25">
        <f t="shared" si="1"/>
        <v>2000</v>
      </c>
      <c r="G110" s="25"/>
    </row>
    <row r="111" spans="1:7">
      <c r="A111" s="159" t="s">
        <v>325</v>
      </c>
      <c r="B111" s="159" t="s">
        <v>124</v>
      </c>
      <c r="C111" s="159" t="s">
        <v>317</v>
      </c>
      <c r="D111" s="25">
        <v>8000</v>
      </c>
      <c r="E111" s="25">
        <v>0</v>
      </c>
      <c r="F111" s="25">
        <f t="shared" si="1"/>
        <v>8000</v>
      </c>
      <c r="G111" s="25"/>
    </row>
    <row r="112" spans="1:7">
      <c r="A112" s="159" t="s">
        <v>326</v>
      </c>
      <c r="B112" s="159" t="s">
        <v>124</v>
      </c>
      <c r="C112" s="159" t="s">
        <v>327</v>
      </c>
      <c r="D112" s="25">
        <v>1994000</v>
      </c>
      <c r="E112" s="25">
        <v>0</v>
      </c>
      <c r="F112" s="25">
        <f t="shared" si="1"/>
        <v>1994000</v>
      </c>
      <c r="G112" s="25"/>
    </row>
    <row r="113" spans="1:7">
      <c r="A113" s="159" t="s">
        <v>328</v>
      </c>
      <c r="B113" s="159" t="s">
        <v>124</v>
      </c>
      <c r="C113" s="159" t="s">
        <v>329</v>
      </c>
      <c r="D113" s="25">
        <v>263000</v>
      </c>
      <c r="E113" s="25">
        <v>0</v>
      </c>
      <c r="F113" s="25">
        <f t="shared" si="1"/>
        <v>263000</v>
      </c>
      <c r="G113" s="25"/>
    </row>
    <row r="114" spans="1:7">
      <c r="A114" s="159" t="s">
        <v>330</v>
      </c>
      <c r="B114" s="159" t="s">
        <v>124</v>
      </c>
      <c r="C114" s="159" t="s">
        <v>331</v>
      </c>
      <c r="D114" s="25">
        <v>300000</v>
      </c>
      <c r="E114" s="25">
        <v>0</v>
      </c>
      <c r="F114" s="25">
        <f t="shared" si="1"/>
        <v>300000</v>
      </c>
      <c r="G114" s="25"/>
    </row>
    <row r="115" spans="1:7">
      <c r="A115" s="159" t="s">
        <v>332</v>
      </c>
      <c r="B115" s="159" t="s">
        <v>124</v>
      </c>
      <c r="C115" s="159" t="s">
        <v>333</v>
      </c>
      <c r="D115" s="25">
        <v>315000</v>
      </c>
      <c r="E115" s="25">
        <v>0</v>
      </c>
      <c r="F115" s="25">
        <f t="shared" si="1"/>
        <v>315000</v>
      </c>
      <c r="G115" s="25"/>
    </row>
    <row r="116" spans="1:7">
      <c r="A116" s="159" t="s">
        <v>334</v>
      </c>
      <c r="B116" s="159" t="s">
        <v>124</v>
      </c>
      <c r="C116" s="159" t="s">
        <v>335</v>
      </c>
      <c r="D116" s="25">
        <v>386000</v>
      </c>
      <c r="E116" s="25">
        <v>0</v>
      </c>
      <c r="F116" s="25">
        <f t="shared" si="1"/>
        <v>386000</v>
      </c>
      <c r="G116" s="25"/>
    </row>
    <row r="117" spans="1:7">
      <c r="A117" s="159" t="s">
        <v>336</v>
      </c>
      <c r="B117" s="159" t="s">
        <v>124</v>
      </c>
      <c r="C117" s="159" t="s">
        <v>337</v>
      </c>
      <c r="D117" s="25">
        <v>926000</v>
      </c>
      <c r="E117" s="25">
        <v>0</v>
      </c>
      <c r="F117" s="25">
        <f t="shared" si="1"/>
        <v>926000</v>
      </c>
      <c r="G117" s="25"/>
    </row>
    <row r="118" spans="1:7">
      <c r="A118" s="159" t="s">
        <v>338</v>
      </c>
      <c r="B118" s="159" t="s">
        <v>124</v>
      </c>
      <c r="C118" s="159" t="s">
        <v>339</v>
      </c>
      <c r="D118" s="25">
        <v>75000</v>
      </c>
      <c r="E118" s="25">
        <v>0</v>
      </c>
      <c r="F118" s="25">
        <f t="shared" si="1"/>
        <v>75000</v>
      </c>
      <c r="G118" s="25"/>
    </row>
    <row r="119" spans="1:7">
      <c r="A119" s="159" t="s">
        <v>340</v>
      </c>
      <c r="B119" s="159" t="s">
        <v>124</v>
      </c>
      <c r="C119" s="159" t="s">
        <v>339</v>
      </c>
      <c r="D119" s="25">
        <v>264000</v>
      </c>
      <c r="E119" s="25">
        <v>0</v>
      </c>
      <c r="F119" s="25">
        <f t="shared" si="1"/>
        <v>264000</v>
      </c>
      <c r="G119" s="25"/>
    </row>
    <row r="120" spans="1:7">
      <c r="A120" s="159" t="s">
        <v>341</v>
      </c>
      <c r="B120" s="159" t="s">
        <v>124</v>
      </c>
      <c r="C120" s="159" t="s">
        <v>342</v>
      </c>
      <c r="D120" s="25">
        <v>380000</v>
      </c>
      <c r="E120" s="25">
        <v>0</v>
      </c>
      <c r="F120" s="25">
        <f t="shared" si="1"/>
        <v>380000</v>
      </c>
      <c r="G120" s="25"/>
    </row>
    <row r="121" spans="1:7">
      <c r="A121" s="159" t="s">
        <v>343</v>
      </c>
      <c r="B121" s="159" t="s">
        <v>124</v>
      </c>
      <c r="C121" s="159" t="s">
        <v>344</v>
      </c>
      <c r="D121" s="25">
        <v>369000</v>
      </c>
      <c r="E121" s="25">
        <v>0</v>
      </c>
      <c r="F121" s="25">
        <f t="shared" si="1"/>
        <v>369000</v>
      </c>
      <c r="G121" s="25"/>
    </row>
    <row r="122" spans="1:7">
      <c r="A122" s="159" t="s">
        <v>345</v>
      </c>
      <c r="B122" s="159" t="s">
        <v>124</v>
      </c>
      <c r="C122" s="159" t="s">
        <v>346</v>
      </c>
      <c r="D122" s="25">
        <v>220000</v>
      </c>
      <c r="E122" s="25">
        <v>0</v>
      </c>
      <c r="F122" s="25">
        <f t="shared" si="1"/>
        <v>220000</v>
      </c>
      <c r="G122" s="25"/>
    </row>
    <row r="123" spans="1:7">
      <c r="A123" s="159" t="s">
        <v>347</v>
      </c>
      <c r="B123" s="159" t="s">
        <v>124</v>
      </c>
      <c r="C123" s="159" t="s">
        <v>348</v>
      </c>
      <c r="D123" s="25">
        <v>25000</v>
      </c>
      <c r="E123" s="25">
        <v>0</v>
      </c>
      <c r="F123" s="25">
        <f t="shared" si="1"/>
        <v>25000</v>
      </c>
      <c r="G123" s="25"/>
    </row>
    <row r="124" spans="1:7">
      <c r="A124" s="159" t="s">
        <v>349</v>
      </c>
      <c r="B124" s="159" t="s">
        <v>124</v>
      </c>
      <c r="C124" s="159" t="s">
        <v>350</v>
      </c>
      <c r="D124" s="25">
        <v>326000</v>
      </c>
      <c r="E124" s="25">
        <v>0</v>
      </c>
      <c r="F124" s="25">
        <f t="shared" si="1"/>
        <v>326000</v>
      </c>
      <c r="G124" s="25"/>
    </row>
    <row r="125" spans="1:7">
      <c r="A125" s="159" t="s">
        <v>351</v>
      </c>
      <c r="B125" s="159" t="s">
        <v>124</v>
      </c>
      <c r="C125" s="159" t="s">
        <v>352</v>
      </c>
      <c r="D125" s="25">
        <v>349000</v>
      </c>
      <c r="E125" s="25">
        <v>0</v>
      </c>
      <c r="F125" s="25">
        <f t="shared" si="1"/>
        <v>349000</v>
      </c>
      <c r="G125" s="25"/>
    </row>
    <row r="126" spans="1:7">
      <c r="A126" s="159" t="s">
        <v>353</v>
      </c>
      <c r="B126" s="159" t="s">
        <v>124</v>
      </c>
      <c r="C126" s="159" t="s">
        <v>354</v>
      </c>
      <c r="D126" s="25">
        <v>283000</v>
      </c>
      <c r="E126" s="25">
        <v>0</v>
      </c>
      <c r="F126" s="25">
        <f t="shared" si="1"/>
        <v>283000</v>
      </c>
      <c r="G126" s="25"/>
    </row>
    <row r="127" spans="1:7">
      <c r="A127" s="159" t="s">
        <v>355</v>
      </c>
      <c r="B127" s="159" t="s">
        <v>124</v>
      </c>
      <c r="C127" s="159" t="s">
        <v>356</v>
      </c>
      <c r="D127" s="25">
        <v>751000</v>
      </c>
      <c r="E127" s="25">
        <v>0</v>
      </c>
      <c r="F127" s="25">
        <f t="shared" si="1"/>
        <v>751000</v>
      </c>
      <c r="G127" s="25"/>
    </row>
    <row r="128" spans="1:7">
      <c r="A128" s="159" t="s">
        <v>357</v>
      </c>
      <c r="B128" s="159" t="s">
        <v>124</v>
      </c>
      <c r="C128" s="159" t="s">
        <v>358</v>
      </c>
      <c r="D128" s="25">
        <v>128000</v>
      </c>
      <c r="E128" s="25">
        <v>0</v>
      </c>
      <c r="F128" s="25">
        <f t="shared" si="1"/>
        <v>128000</v>
      </c>
      <c r="G128" s="25"/>
    </row>
    <row r="129" spans="1:7">
      <c r="A129" s="159" t="s">
        <v>359</v>
      </c>
      <c r="B129" s="159" t="s">
        <v>124</v>
      </c>
      <c r="C129" s="159" t="s">
        <v>360</v>
      </c>
      <c r="D129" s="25">
        <v>113000</v>
      </c>
      <c r="E129" s="25">
        <v>0</v>
      </c>
      <c r="F129" s="25">
        <f t="shared" si="1"/>
        <v>113000</v>
      </c>
      <c r="G129" s="25"/>
    </row>
    <row r="130" spans="1:7">
      <c r="A130" s="159" t="s">
        <v>361</v>
      </c>
      <c r="B130" s="159" t="s">
        <v>124</v>
      </c>
      <c r="C130" s="159" t="s">
        <v>362</v>
      </c>
      <c r="D130" s="25">
        <v>9000</v>
      </c>
      <c r="E130" s="25">
        <v>0</v>
      </c>
      <c r="F130" s="25">
        <f t="shared" si="1"/>
        <v>9000</v>
      </c>
      <c r="G130" s="25"/>
    </row>
    <row r="131" spans="1:7">
      <c r="A131" s="159" t="s">
        <v>363</v>
      </c>
      <c r="B131" s="159" t="s">
        <v>124</v>
      </c>
      <c r="C131" s="159" t="s">
        <v>364</v>
      </c>
      <c r="D131" s="25">
        <v>506000</v>
      </c>
      <c r="E131" s="25">
        <v>0</v>
      </c>
      <c r="F131" s="25">
        <f t="shared" si="1"/>
        <v>506000</v>
      </c>
      <c r="G131" s="25"/>
    </row>
    <row r="132" spans="1:7">
      <c r="A132" s="159" t="s">
        <v>365</v>
      </c>
      <c r="B132" s="159" t="s">
        <v>124</v>
      </c>
      <c r="C132" s="159" t="s">
        <v>364</v>
      </c>
      <c r="D132" s="25">
        <v>338000</v>
      </c>
      <c r="E132" s="25">
        <v>0</v>
      </c>
      <c r="F132" s="25">
        <f t="shared" ref="F132:F195" si="2">D132-E132</f>
        <v>338000</v>
      </c>
      <c r="G132" s="25"/>
    </row>
    <row r="133" spans="1:7">
      <c r="A133" s="159" t="s">
        <v>366</v>
      </c>
      <c r="B133" s="159" t="s">
        <v>124</v>
      </c>
      <c r="C133" s="159" t="s">
        <v>367</v>
      </c>
      <c r="D133" s="25">
        <v>4000</v>
      </c>
      <c r="E133" s="25">
        <v>0</v>
      </c>
      <c r="F133" s="25">
        <f t="shared" si="2"/>
        <v>4000</v>
      </c>
      <c r="G133" s="25"/>
    </row>
    <row r="134" spans="1:7">
      <c r="A134" s="159" t="s">
        <v>368</v>
      </c>
      <c r="B134" s="159" t="s">
        <v>124</v>
      </c>
      <c r="C134" s="159" t="s">
        <v>369</v>
      </c>
      <c r="D134" s="25">
        <v>343000</v>
      </c>
      <c r="E134" s="25">
        <v>0</v>
      </c>
      <c r="F134" s="25">
        <f t="shared" si="2"/>
        <v>343000</v>
      </c>
      <c r="G134" s="25"/>
    </row>
    <row r="135" spans="1:7">
      <c r="A135" s="159" t="s">
        <v>370</v>
      </c>
      <c r="B135" s="159" t="s">
        <v>124</v>
      </c>
      <c r="C135" s="159" t="s">
        <v>371</v>
      </c>
      <c r="D135" s="25">
        <v>1000</v>
      </c>
      <c r="E135" s="25">
        <v>0</v>
      </c>
      <c r="F135" s="25">
        <f t="shared" si="2"/>
        <v>1000</v>
      </c>
      <c r="G135" s="25"/>
    </row>
    <row r="136" spans="1:7">
      <c r="A136" s="159" t="s">
        <v>372</v>
      </c>
      <c r="B136" s="159" t="s">
        <v>124</v>
      </c>
      <c r="C136" s="159" t="s">
        <v>373</v>
      </c>
      <c r="D136" s="25">
        <v>666000</v>
      </c>
      <c r="E136" s="25">
        <v>0</v>
      </c>
      <c r="F136" s="25">
        <f t="shared" si="2"/>
        <v>666000</v>
      </c>
      <c r="G136" s="25"/>
    </row>
    <row r="137" spans="1:7">
      <c r="A137" s="159" t="s">
        <v>374</v>
      </c>
      <c r="B137" s="159" t="s">
        <v>124</v>
      </c>
      <c r="C137" s="159" t="s">
        <v>375</v>
      </c>
      <c r="D137" s="25">
        <v>309000</v>
      </c>
      <c r="E137" s="25">
        <v>0</v>
      </c>
      <c r="F137" s="25">
        <f t="shared" si="2"/>
        <v>309000</v>
      </c>
      <c r="G137" s="25"/>
    </row>
    <row r="138" spans="1:7">
      <c r="A138" s="159" t="s">
        <v>376</v>
      </c>
      <c r="B138" s="159" t="s">
        <v>124</v>
      </c>
      <c r="C138" s="159" t="s">
        <v>377</v>
      </c>
      <c r="D138" s="25">
        <v>62000</v>
      </c>
      <c r="E138" s="25">
        <v>0</v>
      </c>
      <c r="F138" s="25">
        <f t="shared" si="2"/>
        <v>62000</v>
      </c>
      <c r="G138" s="25"/>
    </row>
    <row r="139" spans="1:7">
      <c r="A139" s="159" t="s">
        <v>378</v>
      </c>
      <c r="B139" s="159" t="s">
        <v>124</v>
      </c>
      <c r="C139" s="159" t="s">
        <v>379</v>
      </c>
      <c r="D139" s="25">
        <v>4000</v>
      </c>
      <c r="E139" s="25">
        <v>0</v>
      </c>
      <c r="F139" s="25">
        <f t="shared" si="2"/>
        <v>4000</v>
      </c>
      <c r="G139" s="25"/>
    </row>
    <row r="140" spans="1:7">
      <c r="A140" s="159" t="s">
        <v>380</v>
      </c>
      <c r="B140" s="159" t="s">
        <v>124</v>
      </c>
      <c r="C140" s="159" t="s">
        <v>379</v>
      </c>
      <c r="D140" s="25">
        <v>1000</v>
      </c>
      <c r="E140" s="25">
        <v>0</v>
      </c>
      <c r="F140" s="25">
        <f t="shared" si="2"/>
        <v>1000</v>
      </c>
      <c r="G140" s="25"/>
    </row>
    <row r="141" spans="1:7">
      <c r="A141" s="159" t="s">
        <v>381</v>
      </c>
      <c r="B141" s="159" t="s">
        <v>124</v>
      </c>
      <c r="C141" s="159" t="s">
        <v>382</v>
      </c>
      <c r="D141" s="25">
        <v>208000</v>
      </c>
      <c r="E141" s="25">
        <v>0</v>
      </c>
      <c r="F141" s="25">
        <f t="shared" si="2"/>
        <v>208000</v>
      </c>
      <c r="G141" s="25"/>
    </row>
    <row r="142" spans="1:7">
      <c r="A142" s="159" t="s">
        <v>383</v>
      </c>
      <c r="B142" s="159" t="s">
        <v>124</v>
      </c>
      <c r="C142" s="159" t="s">
        <v>384</v>
      </c>
      <c r="D142" s="25">
        <v>22000</v>
      </c>
      <c r="E142" s="25">
        <v>0</v>
      </c>
      <c r="F142" s="25">
        <f t="shared" si="2"/>
        <v>22000</v>
      </c>
      <c r="G142" s="25"/>
    </row>
    <row r="143" spans="1:7">
      <c r="A143" s="159" t="s">
        <v>385</v>
      </c>
      <c r="B143" s="159" t="s">
        <v>124</v>
      </c>
      <c r="C143" s="159" t="s">
        <v>384</v>
      </c>
      <c r="D143" s="25">
        <v>69000</v>
      </c>
      <c r="E143" s="25">
        <v>0</v>
      </c>
      <c r="F143" s="25">
        <f t="shared" si="2"/>
        <v>69000</v>
      </c>
      <c r="G143" s="25"/>
    </row>
    <row r="144" spans="1:7">
      <c r="A144" s="159" t="s">
        <v>386</v>
      </c>
      <c r="B144" s="159" t="s">
        <v>124</v>
      </c>
      <c r="C144" s="159" t="s">
        <v>384</v>
      </c>
      <c r="D144" s="25">
        <v>36000</v>
      </c>
      <c r="E144" s="25">
        <v>0</v>
      </c>
      <c r="F144" s="25">
        <f t="shared" si="2"/>
        <v>36000</v>
      </c>
      <c r="G144" s="25"/>
    </row>
    <row r="145" spans="1:7">
      <c r="A145" s="159" t="s">
        <v>387</v>
      </c>
      <c r="B145" s="159" t="s">
        <v>124</v>
      </c>
      <c r="C145" s="159" t="s">
        <v>388</v>
      </c>
      <c r="D145" s="25">
        <v>953000</v>
      </c>
      <c r="E145" s="25">
        <v>0</v>
      </c>
      <c r="F145" s="25">
        <f t="shared" si="2"/>
        <v>953000</v>
      </c>
      <c r="G145" s="25"/>
    </row>
    <row r="146" spans="1:7">
      <c r="A146" s="159" t="s">
        <v>389</v>
      </c>
      <c r="B146" s="159" t="s">
        <v>124</v>
      </c>
      <c r="C146" s="159" t="s">
        <v>390</v>
      </c>
      <c r="D146" s="25">
        <v>65000</v>
      </c>
      <c r="E146" s="25">
        <v>0</v>
      </c>
      <c r="F146" s="25">
        <f t="shared" si="2"/>
        <v>65000</v>
      </c>
      <c r="G146" s="25"/>
    </row>
    <row r="147" spans="1:7">
      <c r="A147" s="159" t="s">
        <v>391</v>
      </c>
      <c r="B147" s="159" t="s">
        <v>124</v>
      </c>
      <c r="C147" s="159" t="s">
        <v>392</v>
      </c>
      <c r="D147" s="25">
        <v>174000</v>
      </c>
      <c r="E147" s="25">
        <v>0</v>
      </c>
      <c r="F147" s="25">
        <f t="shared" si="2"/>
        <v>174000</v>
      </c>
      <c r="G147" s="25"/>
    </row>
    <row r="148" spans="1:7">
      <c r="A148" s="159" t="s">
        <v>393</v>
      </c>
      <c r="B148" s="159" t="s">
        <v>124</v>
      </c>
      <c r="C148" s="159" t="s">
        <v>394</v>
      </c>
      <c r="D148" s="25">
        <v>153000</v>
      </c>
      <c r="E148" s="25">
        <v>0</v>
      </c>
      <c r="F148" s="25">
        <f t="shared" si="2"/>
        <v>153000</v>
      </c>
      <c r="G148" s="25"/>
    </row>
    <row r="149" spans="1:7">
      <c r="A149" s="159" t="s">
        <v>395</v>
      </c>
      <c r="B149" s="159" t="s">
        <v>124</v>
      </c>
      <c r="C149" s="159" t="s">
        <v>396</v>
      </c>
      <c r="D149" s="25">
        <v>284000</v>
      </c>
      <c r="E149" s="25">
        <v>0</v>
      </c>
      <c r="F149" s="25">
        <f t="shared" si="2"/>
        <v>284000</v>
      </c>
      <c r="G149" s="25"/>
    </row>
    <row r="150" spans="1:7">
      <c r="A150" s="159" t="s">
        <v>397</v>
      </c>
      <c r="B150" s="159" t="s">
        <v>124</v>
      </c>
      <c r="C150" s="159" t="s">
        <v>398</v>
      </c>
      <c r="D150" s="25">
        <v>272000</v>
      </c>
      <c r="E150" s="25">
        <v>0</v>
      </c>
      <c r="F150" s="25">
        <f t="shared" si="2"/>
        <v>272000</v>
      </c>
      <c r="G150" s="25"/>
    </row>
    <row r="151" spans="1:7">
      <c r="A151" s="159" t="s">
        <v>399</v>
      </c>
      <c r="B151" s="159" t="s">
        <v>124</v>
      </c>
      <c r="C151" s="159" t="s">
        <v>400</v>
      </c>
      <c r="D151" s="25">
        <v>340000</v>
      </c>
      <c r="E151" s="25">
        <v>0</v>
      </c>
      <c r="F151" s="25">
        <f t="shared" si="2"/>
        <v>340000</v>
      </c>
      <c r="G151" s="25"/>
    </row>
    <row r="152" spans="1:7">
      <c r="A152" s="159" t="s">
        <v>401</v>
      </c>
      <c r="B152" s="159" t="s">
        <v>124</v>
      </c>
      <c r="C152" s="159" t="s">
        <v>402</v>
      </c>
      <c r="D152" s="25">
        <v>545000</v>
      </c>
      <c r="E152" s="25">
        <v>0</v>
      </c>
      <c r="F152" s="25">
        <f t="shared" si="2"/>
        <v>545000</v>
      </c>
      <c r="G152" s="25"/>
    </row>
    <row r="153" spans="1:7">
      <c r="A153" s="159" t="s">
        <v>403</v>
      </c>
      <c r="B153" s="159" t="s">
        <v>124</v>
      </c>
      <c r="C153" s="159" t="s">
        <v>404</v>
      </c>
      <c r="D153" s="25">
        <v>258000</v>
      </c>
      <c r="E153" s="25">
        <v>0</v>
      </c>
      <c r="F153" s="25">
        <f t="shared" si="2"/>
        <v>258000</v>
      </c>
      <c r="G153" s="25"/>
    </row>
    <row r="154" spans="1:7">
      <c r="A154" s="159" t="s">
        <v>405</v>
      </c>
      <c r="B154" s="159" t="s">
        <v>124</v>
      </c>
      <c r="C154" s="159" t="s">
        <v>406</v>
      </c>
      <c r="D154" s="25">
        <v>191000</v>
      </c>
      <c r="E154" s="25">
        <v>0</v>
      </c>
      <c r="F154" s="25">
        <f t="shared" si="2"/>
        <v>191000</v>
      </c>
      <c r="G154" s="25"/>
    </row>
    <row r="155" spans="1:7">
      <c r="A155" s="159" t="s">
        <v>407</v>
      </c>
      <c r="B155" s="159" t="s">
        <v>124</v>
      </c>
      <c r="C155" s="159" t="s">
        <v>408</v>
      </c>
      <c r="D155" s="25">
        <v>366000</v>
      </c>
      <c r="E155" s="25">
        <v>0</v>
      </c>
      <c r="F155" s="25">
        <f t="shared" si="2"/>
        <v>366000</v>
      </c>
      <c r="G155" s="25"/>
    </row>
    <row r="156" spans="1:7">
      <c r="A156" s="159" t="s">
        <v>409</v>
      </c>
      <c r="B156" s="159" t="s">
        <v>124</v>
      </c>
      <c r="C156" s="159" t="s">
        <v>410</v>
      </c>
      <c r="D156" s="25">
        <v>17000</v>
      </c>
      <c r="E156" s="25">
        <v>0</v>
      </c>
      <c r="F156" s="25">
        <f t="shared" si="2"/>
        <v>17000</v>
      </c>
      <c r="G156" s="25"/>
    </row>
    <row r="157" spans="1:7">
      <c r="A157" s="159" t="s">
        <v>411</v>
      </c>
      <c r="B157" s="159" t="s">
        <v>124</v>
      </c>
      <c r="C157" s="159" t="s">
        <v>412</v>
      </c>
      <c r="D157" s="25">
        <v>239000</v>
      </c>
      <c r="E157" s="25">
        <v>0</v>
      </c>
      <c r="F157" s="25">
        <f t="shared" si="2"/>
        <v>239000</v>
      </c>
      <c r="G157" s="25"/>
    </row>
    <row r="158" spans="1:7">
      <c r="A158" s="159" t="s">
        <v>413</v>
      </c>
      <c r="B158" s="159" t="s">
        <v>124</v>
      </c>
      <c r="C158" s="159" t="s">
        <v>414</v>
      </c>
      <c r="D158" s="25">
        <v>198000</v>
      </c>
      <c r="E158" s="25">
        <v>0</v>
      </c>
      <c r="F158" s="25">
        <f t="shared" si="2"/>
        <v>198000</v>
      </c>
      <c r="G158" s="25"/>
    </row>
    <row r="159" spans="1:7">
      <c r="A159" s="159" t="s">
        <v>415</v>
      </c>
      <c r="B159" s="159" t="s">
        <v>124</v>
      </c>
      <c r="C159" s="159" t="s">
        <v>416</v>
      </c>
      <c r="D159" s="25">
        <v>193000</v>
      </c>
      <c r="E159" s="25">
        <v>0</v>
      </c>
      <c r="F159" s="25">
        <f t="shared" si="2"/>
        <v>193000</v>
      </c>
      <c r="G159" s="25"/>
    </row>
    <row r="160" spans="1:7">
      <c r="A160" s="159" t="s">
        <v>417</v>
      </c>
      <c r="B160" s="159" t="s">
        <v>124</v>
      </c>
      <c r="C160" s="159" t="s">
        <v>418</v>
      </c>
      <c r="D160" s="25">
        <v>139000</v>
      </c>
      <c r="E160" s="25">
        <v>0</v>
      </c>
      <c r="F160" s="25">
        <f t="shared" si="2"/>
        <v>139000</v>
      </c>
      <c r="G160" s="25"/>
    </row>
    <row r="161" spans="1:7">
      <c r="A161" s="159" t="s">
        <v>419</v>
      </c>
      <c r="B161" s="159" t="s">
        <v>124</v>
      </c>
      <c r="C161" s="159" t="s">
        <v>420</v>
      </c>
      <c r="D161" s="25">
        <v>373000</v>
      </c>
      <c r="E161" s="25">
        <v>0</v>
      </c>
      <c r="F161" s="25">
        <f t="shared" si="2"/>
        <v>373000</v>
      </c>
      <c r="G161" s="25"/>
    </row>
    <row r="162" spans="1:7">
      <c r="A162" s="159" t="s">
        <v>421</v>
      </c>
      <c r="B162" s="159" t="s">
        <v>124</v>
      </c>
      <c r="C162" s="159" t="s">
        <v>422</v>
      </c>
      <c r="D162" s="25">
        <v>335000</v>
      </c>
      <c r="E162" s="25">
        <v>0</v>
      </c>
      <c r="F162" s="25">
        <f t="shared" si="2"/>
        <v>335000</v>
      </c>
      <c r="G162" s="25"/>
    </row>
    <row r="163" spans="1:7">
      <c r="A163" s="159" t="s">
        <v>423</v>
      </c>
      <c r="B163" s="159" t="s">
        <v>124</v>
      </c>
      <c r="C163" s="159" t="s">
        <v>424</v>
      </c>
      <c r="D163" s="25">
        <v>243000</v>
      </c>
      <c r="E163" s="25">
        <v>0</v>
      </c>
      <c r="F163" s="25">
        <f t="shared" si="2"/>
        <v>243000</v>
      </c>
      <c r="G163" s="25"/>
    </row>
    <row r="164" spans="1:7">
      <c r="A164" s="159" t="s">
        <v>425</v>
      </c>
      <c r="B164" s="159" t="s">
        <v>124</v>
      </c>
      <c r="C164" s="159" t="s">
        <v>426</v>
      </c>
      <c r="D164" s="25">
        <v>103000</v>
      </c>
      <c r="E164" s="25">
        <v>0</v>
      </c>
      <c r="F164" s="25">
        <f t="shared" si="2"/>
        <v>103000</v>
      </c>
      <c r="G164" s="25"/>
    </row>
    <row r="165" spans="1:7">
      <c r="A165" s="159" t="s">
        <v>427</v>
      </c>
      <c r="B165" s="159" t="s">
        <v>124</v>
      </c>
      <c r="C165" s="159" t="s">
        <v>428</v>
      </c>
      <c r="D165" s="25">
        <v>119000</v>
      </c>
      <c r="E165" s="25">
        <v>0</v>
      </c>
      <c r="F165" s="25">
        <f t="shared" si="2"/>
        <v>119000</v>
      </c>
      <c r="G165" s="25"/>
    </row>
    <row r="166" spans="1:7">
      <c r="A166" s="159" t="s">
        <v>429</v>
      </c>
      <c r="B166" s="159" t="s">
        <v>124</v>
      </c>
      <c r="C166" s="159" t="s">
        <v>430</v>
      </c>
      <c r="D166" s="25">
        <v>492000</v>
      </c>
      <c r="E166" s="25">
        <v>0</v>
      </c>
      <c r="F166" s="25">
        <f t="shared" si="2"/>
        <v>492000</v>
      </c>
      <c r="G166" s="25"/>
    </row>
    <row r="167" spans="1:7">
      <c r="A167" s="159" t="s">
        <v>431</v>
      </c>
      <c r="B167" s="159" t="s">
        <v>124</v>
      </c>
      <c r="C167" s="159" t="s">
        <v>432</v>
      </c>
      <c r="D167" s="25">
        <v>56000</v>
      </c>
      <c r="E167" s="25">
        <v>0</v>
      </c>
      <c r="F167" s="25">
        <f t="shared" si="2"/>
        <v>56000</v>
      </c>
      <c r="G167" s="25"/>
    </row>
    <row r="168" spans="1:7">
      <c r="A168" s="159" t="s">
        <v>433</v>
      </c>
      <c r="B168" s="159" t="s">
        <v>124</v>
      </c>
      <c r="C168" s="159" t="s">
        <v>434</v>
      </c>
      <c r="D168" s="25">
        <v>915000</v>
      </c>
      <c r="E168" s="25">
        <v>0</v>
      </c>
      <c r="F168" s="25">
        <f t="shared" si="2"/>
        <v>915000</v>
      </c>
      <c r="G168" s="25"/>
    </row>
    <row r="169" spans="1:7">
      <c r="A169" s="159" t="s">
        <v>435</v>
      </c>
      <c r="B169" s="159" t="s">
        <v>124</v>
      </c>
      <c r="C169" s="159" t="s">
        <v>436</v>
      </c>
      <c r="D169" s="25">
        <v>126000</v>
      </c>
      <c r="E169" s="25">
        <v>0</v>
      </c>
      <c r="F169" s="25">
        <f t="shared" si="2"/>
        <v>126000</v>
      </c>
      <c r="G169" s="25"/>
    </row>
    <row r="170" spans="1:7">
      <c r="A170" s="159" t="s">
        <v>437</v>
      </c>
      <c r="B170" s="159" t="s">
        <v>124</v>
      </c>
      <c r="C170" s="159" t="s">
        <v>438</v>
      </c>
      <c r="D170" s="25">
        <v>94000</v>
      </c>
      <c r="E170" s="25">
        <v>0</v>
      </c>
      <c r="F170" s="25">
        <f t="shared" si="2"/>
        <v>94000</v>
      </c>
      <c r="G170" s="25"/>
    </row>
    <row r="171" spans="1:7">
      <c r="A171" s="159" t="s">
        <v>439</v>
      </c>
      <c r="B171" s="159" t="s">
        <v>124</v>
      </c>
      <c r="C171" s="159" t="s">
        <v>440</v>
      </c>
      <c r="D171" s="25">
        <v>325000</v>
      </c>
      <c r="E171" s="25">
        <v>0</v>
      </c>
      <c r="F171" s="25">
        <f t="shared" si="2"/>
        <v>325000</v>
      </c>
      <c r="G171" s="25"/>
    </row>
    <row r="172" spans="1:7">
      <c r="A172" s="159" t="s">
        <v>441</v>
      </c>
      <c r="B172" s="159" t="s">
        <v>124</v>
      </c>
      <c r="C172" s="159" t="s">
        <v>442</v>
      </c>
      <c r="D172" s="25">
        <v>57000</v>
      </c>
      <c r="E172" s="25">
        <v>0</v>
      </c>
      <c r="F172" s="25">
        <f t="shared" si="2"/>
        <v>57000</v>
      </c>
      <c r="G172" s="25"/>
    </row>
    <row r="173" spans="1:7">
      <c r="A173" s="159" t="s">
        <v>443</v>
      </c>
      <c r="B173" s="159" t="s">
        <v>124</v>
      </c>
      <c r="C173" s="159" t="s">
        <v>444</v>
      </c>
      <c r="D173" s="25">
        <v>52000</v>
      </c>
      <c r="E173" s="25">
        <v>0</v>
      </c>
      <c r="F173" s="25">
        <f t="shared" si="2"/>
        <v>52000</v>
      </c>
      <c r="G173" s="25"/>
    </row>
    <row r="174" spans="1:7">
      <c r="A174" s="159" t="s">
        <v>445</v>
      </c>
      <c r="B174" s="159" t="s">
        <v>124</v>
      </c>
      <c r="C174" s="159" t="s">
        <v>446</v>
      </c>
      <c r="D174" s="25">
        <v>86000</v>
      </c>
      <c r="E174" s="25">
        <v>0</v>
      </c>
      <c r="F174" s="25">
        <f t="shared" si="2"/>
        <v>86000</v>
      </c>
      <c r="G174" s="25"/>
    </row>
    <row r="175" spans="1:7">
      <c r="A175" s="159" t="s">
        <v>447</v>
      </c>
      <c r="B175" s="159" t="s">
        <v>124</v>
      </c>
      <c r="C175" s="159" t="s">
        <v>446</v>
      </c>
      <c r="D175" s="25">
        <v>35000</v>
      </c>
      <c r="E175" s="25">
        <v>0</v>
      </c>
      <c r="F175" s="25">
        <f t="shared" si="2"/>
        <v>35000</v>
      </c>
      <c r="G175" s="25"/>
    </row>
    <row r="176" spans="1:7">
      <c r="A176" s="159" t="s">
        <v>448</v>
      </c>
      <c r="B176" s="159" t="s">
        <v>124</v>
      </c>
      <c r="C176" s="159" t="s">
        <v>449</v>
      </c>
      <c r="D176" s="25">
        <v>175000</v>
      </c>
      <c r="E176" s="25">
        <v>0</v>
      </c>
      <c r="F176" s="25">
        <f t="shared" si="2"/>
        <v>175000</v>
      </c>
      <c r="G176" s="25"/>
    </row>
    <row r="177" spans="1:7">
      <c r="A177" s="159" t="s">
        <v>450</v>
      </c>
      <c r="B177" s="159" t="s">
        <v>124</v>
      </c>
      <c r="C177" s="159" t="s">
        <v>451</v>
      </c>
      <c r="D177" s="25">
        <v>537000</v>
      </c>
      <c r="E177" s="25">
        <v>0</v>
      </c>
      <c r="F177" s="25">
        <f t="shared" si="2"/>
        <v>537000</v>
      </c>
      <c r="G177" s="25"/>
    </row>
    <row r="178" spans="1:7">
      <c r="A178" s="159" t="s">
        <v>452</v>
      </c>
      <c r="B178" s="159" t="s">
        <v>124</v>
      </c>
      <c r="C178" s="159" t="s">
        <v>453</v>
      </c>
      <c r="D178" s="25">
        <v>79000</v>
      </c>
      <c r="E178" s="25">
        <v>0</v>
      </c>
      <c r="F178" s="25">
        <f t="shared" si="2"/>
        <v>79000</v>
      </c>
      <c r="G178" s="25"/>
    </row>
    <row r="179" spans="1:7">
      <c r="A179" s="159" t="s">
        <v>454</v>
      </c>
      <c r="B179" s="159" t="s">
        <v>124</v>
      </c>
      <c r="C179" s="159" t="s">
        <v>453</v>
      </c>
      <c r="D179" s="25">
        <v>24000</v>
      </c>
      <c r="E179" s="25">
        <v>0</v>
      </c>
      <c r="F179" s="25">
        <f t="shared" si="2"/>
        <v>24000</v>
      </c>
      <c r="G179" s="25"/>
    </row>
    <row r="180" spans="1:7">
      <c r="A180" s="159" t="s">
        <v>455</v>
      </c>
      <c r="B180" s="159" t="s">
        <v>124</v>
      </c>
      <c r="C180" s="159" t="s">
        <v>456</v>
      </c>
      <c r="D180" s="25">
        <v>40000</v>
      </c>
      <c r="E180" s="25">
        <v>0</v>
      </c>
      <c r="F180" s="25">
        <f t="shared" si="2"/>
        <v>40000</v>
      </c>
      <c r="G180" s="25"/>
    </row>
    <row r="181" spans="1:7">
      <c r="A181" s="159" t="s">
        <v>457</v>
      </c>
      <c r="B181" s="159" t="s">
        <v>124</v>
      </c>
      <c r="C181" s="159" t="s">
        <v>458</v>
      </c>
      <c r="D181" s="25">
        <v>98000</v>
      </c>
      <c r="E181" s="25">
        <v>0</v>
      </c>
      <c r="F181" s="25">
        <f t="shared" si="2"/>
        <v>98000</v>
      </c>
      <c r="G181" s="25"/>
    </row>
    <row r="182" spans="1:7">
      <c r="A182" s="159" t="s">
        <v>459</v>
      </c>
      <c r="B182" s="159" t="s">
        <v>124</v>
      </c>
      <c r="C182" s="159" t="s">
        <v>460</v>
      </c>
      <c r="D182" s="25">
        <v>668000</v>
      </c>
      <c r="E182" s="25">
        <v>0</v>
      </c>
      <c r="F182" s="25">
        <f t="shared" si="2"/>
        <v>668000</v>
      </c>
      <c r="G182" s="25"/>
    </row>
    <row r="183" spans="1:7">
      <c r="A183" s="159" t="s">
        <v>461</v>
      </c>
      <c r="B183" s="159" t="s">
        <v>124</v>
      </c>
      <c r="C183" s="159" t="s">
        <v>462</v>
      </c>
      <c r="D183" s="25">
        <v>444000</v>
      </c>
      <c r="E183" s="25">
        <v>0</v>
      </c>
      <c r="F183" s="25">
        <f t="shared" si="2"/>
        <v>444000</v>
      </c>
      <c r="G183" s="25"/>
    </row>
    <row r="184" spans="1:7">
      <c r="A184" s="159" t="s">
        <v>463</v>
      </c>
      <c r="B184" s="159" t="s">
        <v>124</v>
      </c>
      <c r="C184" s="159" t="s">
        <v>464</v>
      </c>
      <c r="D184" s="25">
        <v>897000</v>
      </c>
      <c r="E184" s="25">
        <v>0</v>
      </c>
      <c r="F184" s="25">
        <f t="shared" si="2"/>
        <v>897000</v>
      </c>
      <c r="G184" s="25"/>
    </row>
    <row r="185" spans="1:7">
      <c r="A185" s="159" t="s">
        <v>465</v>
      </c>
      <c r="B185" s="159" t="s">
        <v>124</v>
      </c>
      <c r="C185" s="159" t="s">
        <v>466</v>
      </c>
      <c r="D185" s="25">
        <v>579000</v>
      </c>
      <c r="E185" s="25">
        <v>0</v>
      </c>
      <c r="F185" s="25">
        <f t="shared" si="2"/>
        <v>579000</v>
      </c>
      <c r="G185" s="25"/>
    </row>
    <row r="186" spans="1:7">
      <c r="A186" s="159" t="s">
        <v>467</v>
      </c>
      <c r="B186" s="159" t="s">
        <v>124</v>
      </c>
      <c r="C186" s="159" t="s">
        <v>468</v>
      </c>
      <c r="D186" s="25">
        <v>219000</v>
      </c>
      <c r="E186" s="25">
        <v>0</v>
      </c>
      <c r="F186" s="25">
        <f t="shared" si="2"/>
        <v>219000</v>
      </c>
      <c r="G186" s="25"/>
    </row>
    <row r="187" spans="1:7">
      <c r="A187" s="159" t="s">
        <v>469</v>
      </c>
      <c r="B187" s="159" t="s">
        <v>124</v>
      </c>
      <c r="C187" s="159" t="s">
        <v>470</v>
      </c>
      <c r="D187" s="25">
        <v>100000</v>
      </c>
      <c r="E187" s="25">
        <v>0</v>
      </c>
      <c r="F187" s="25">
        <f t="shared" si="2"/>
        <v>100000</v>
      </c>
      <c r="G187" s="25"/>
    </row>
    <row r="188" spans="1:7">
      <c r="A188" s="159" t="s">
        <v>471</v>
      </c>
      <c r="B188" s="159" t="s">
        <v>124</v>
      </c>
      <c r="C188" s="159" t="s">
        <v>472</v>
      </c>
      <c r="D188" s="25">
        <v>375000</v>
      </c>
      <c r="E188" s="25">
        <v>0</v>
      </c>
      <c r="F188" s="25">
        <f t="shared" si="2"/>
        <v>375000</v>
      </c>
      <c r="G188" s="25"/>
    </row>
    <row r="189" spans="1:7">
      <c r="A189" s="159" t="s">
        <v>473</v>
      </c>
      <c r="B189" s="159" t="s">
        <v>474</v>
      </c>
      <c r="C189" s="159" t="s">
        <v>475</v>
      </c>
      <c r="D189" s="25">
        <v>947000</v>
      </c>
      <c r="E189" s="25">
        <v>0</v>
      </c>
      <c r="F189" s="25">
        <f t="shared" si="2"/>
        <v>947000</v>
      </c>
      <c r="G189" s="25"/>
    </row>
    <row r="190" spans="1:7">
      <c r="A190" s="159" t="s">
        <v>476</v>
      </c>
      <c r="B190" s="159" t="s">
        <v>474</v>
      </c>
      <c r="C190" s="159" t="s">
        <v>477</v>
      </c>
      <c r="D190" s="25">
        <v>183000</v>
      </c>
      <c r="E190" s="25">
        <v>0</v>
      </c>
      <c r="F190" s="25">
        <f t="shared" si="2"/>
        <v>183000</v>
      </c>
      <c r="G190" s="25"/>
    </row>
    <row r="191" spans="1:7">
      <c r="A191" s="159" t="s">
        <v>478</v>
      </c>
      <c r="B191" s="159" t="s">
        <v>474</v>
      </c>
      <c r="C191" s="159" t="s">
        <v>479</v>
      </c>
      <c r="D191" s="25">
        <v>209000</v>
      </c>
      <c r="E191" s="25">
        <v>0</v>
      </c>
      <c r="F191" s="25">
        <f t="shared" si="2"/>
        <v>209000</v>
      </c>
      <c r="G191" s="25"/>
    </row>
    <row r="192" spans="1:7">
      <c r="A192" s="159" t="s">
        <v>480</v>
      </c>
      <c r="B192" s="159" t="s">
        <v>474</v>
      </c>
      <c r="C192" s="159" t="s">
        <v>481</v>
      </c>
      <c r="D192" s="25">
        <v>408000</v>
      </c>
      <c r="E192" s="25">
        <v>0</v>
      </c>
      <c r="F192" s="25">
        <f t="shared" si="2"/>
        <v>408000</v>
      </c>
      <c r="G192" s="25">
        <v>408000</v>
      </c>
    </row>
    <row r="193" spans="1:7">
      <c r="A193" s="159" t="s">
        <v>482</v>
      </c>
      <c r="B193" s="159" t="s">
        <v>474</v>
      </c>
      <c r="C193" s="159" t="s">
        <v>483</v>
      </c>
      <c r="D193" s="25">
        <v>1410000</v>
      </c>
      <c r="E193" s="25">
        <v>0</v>
      </c>
      <c r="F193" s="25">
        <f t="shared" si="2"/>
        <v>1410000</v>
      </c>
      <c r="G193" s="25">
        <v>1410000</v>
      </c>
    </row>
    <row r="194" spans="1:7">
      <c r="A194" s="159" t="s">
        <v>484</v>
      </c>
      <c r="B194" s="159" t="s">
        <v>474</v>
      </c>
      <c r="C194" s="159" t="s">
        <v>485</v>
      </c>
      <c r="D194" s="25">
        <v>10756000</v>
      </c>
      <c r="E194" s="25">
        <v>0</v>
      </c>
      <c r="F194" s="25">
        <f t="shared" si="2"/>
        <v>10756000</v>
      </c>
      <c r="G194" s="25">
        <v>10756000</v>
      </c>
    </row>
    <row r="195" spans="1:7">
      <c r="A195" s="159" t="s">
        <v>486</v>
      </c>
      <c r="B195" s="159" t="s">
        <v>474</v>
      </c>
      <c r="C195" s="159" t="s">
        <v>487</v>
      </c>
      <c r="D195" s="25">
        <v>79000</v>
      </c>
      <c r="E195" s="25">
        <v>0</v>
      </c>
      <c r="F195" s="25">
        <f t="shared" si="2"/>
        <v>79000</v>
      </c>
      <c r="G195" s="25">
        <v>79000</v>
      </c>
    </row>
    <row r="196" spans="1:7">
      <c r="A196" s="159" t="s">
        <v>488</v>
      </c>
      <c r="B196" s="159" t="s">
        <v>474</v>
      </c>
      <c r="C196" s="159" t="s">
        <v>489</v>
      </c>
      <c r="D196" s="25">
        <v>288000</v>
      </c>
      <c r="E196" s="25">
        <v>0</v>
      </c>
      <c r="F196" s="25">
        <f t="shared" ref="F196:F259" si="3">D196-E196</f>
        <v>288000</v>
      </c>
      <c r="G196" s="25">
        <v>288000</v>
      </c>
    </row>
    <row r="197" spans="1:7">
      <c r="A197" s="159" t="s">
        <v>490</v>
      </c>
      <c r="B197" s="159" t="s">
        <v>474</v>
      </c>
      <c r="C197" s="159" t="s">
        <v>491</v>
      </c>
      <c r="D197" s="25">
        <v>688300</v>
      </c>
      <c r="E197" s="25">
        <v>0</v>
      </c>
      <c r="F197" s="25">
        <f t="shared" si="3"/>
        <v>688300</v>
      </c>
      <c r="G197" s="25">
        <v>688300</v>
      </c>
    </row>
    <row r="198" spans="1:7">
      <c r="A198" s="159" t="s">
        <v>492</v>
      </c>
      <c r="B198" s="159" t="s">
        <v>474</v>
      </c>
      <c r="C198" s="159" t="s">
        <v>493</v>
      </c>
      <c r="D198" s="25">
        <v>512000</v>
      </c>
      <c r="E198" s="25">
        <v>0</v>
      </c>
      <c r="F198" s="25">
        <f t="shared" si="3"/>
        <v>512000</v>
      </c>
      <c r="G198" s="25"/>
    </row>
    <row r="199" spans="1:7">
      <c r="A199" s="159" t="s">
        <v>494</v>
      </c>
      <c r="B199" s="159" t="s">
        <v>474</v>
      </c>
      <c r="C199" s="159" t="s">
        <v>495</v>
      </c>
      <c r="D199" s="25">
        <v>493000</v>
      </c>
      <c r="E199" s="25">
        <v>0</v>
      </c>
      <c r="F199" s="25">
        <f t="shared" si="3"/>
        <v>493000</v>
      </c>
      <c r="G199" s="25"/>
    </row>
    <row r="200" spans="1:7">
      <c r="A200" s="159" t="s">
        <v>496</v>
      </c>
      <c r="B200" s="159" t="s">
        <v>474</v>
      </c>
      <c r="C200" s="159" t="s">
        <v>497</v>
      </c>
      <c r="D200" s="25">
        <v>1090000</v>
      </c>
      <c r="E200" s="25">
        <v>0</v>
      </c>
      <c r="F200" s="25">
        <f t="shared" si="3"/>
        <v>1090000</v>
      </c>
      <c r="G200" s="25"/>
    </row>
    <row r="201" spans="1:7">
      <c r="A201" s="159" t="s">
        <v>498</v>
      </c>
      <c r="B201" s="159" t="s">
        <v>474</v>
      </c>
      <c r="C201" s="159" t="s">
        <v>499</v>
      </c>
      <c r="D201" s="25">
        <v>557500</v>
      </c>
      <c r="E201" s="25">
        <v>0</v>
      </c>
      <c r="F201" s="25">
        <f t="shared" si="3"/>
        <v>557500</v>
      </c>
      <c r="G201" s="25"/>
    </row>
    <row r="202" spans="1:7">
      <c r="A202" s="159" t="s">
        <v>500</v>
      </c>
      <c r="B202" s="159" t="s">
        <v>474</v>
      </c>
      <c r="C202" s="159" t="s">
        <v>501</v>
      </c>
      <c r="D202" s="25">
        <v>346000</v>
      </c>
      <c r="E202" s="25">
        <v>0</v>
      </c>
      <c r="F202" s="25">
        <f t="shared" si="3"/>
        <v>346000</v>
      </c>
      <c r="G202" s="25">
        <v>346000</v>
      </c>
    </row>
    <row r="203" spans="1:7">
      <c r="A203" s="159" t="s">
        <v>502</v>
      </c>
      <c r="B203" s="159" t="s">
        <v>474</v>
      </c>
      <c r="C203" s="159" t="s">
        <v>503</v>
      </c>
      <c r="D203" s="25">
        <v>685000</v>
      </c>
      <c r="E203" s="25">
        <v>0</v>
      </c>
      <c r="F203" s="25">
        <f t="shared" si="3"/>
        <v>685000</v>
      </c>
      <c r="G203" s="25"/>
    </row>
    <row r="204" spans="1:7">
      <c r="A204" s="159" t="s">
        <v>504</v>
      </c>
      <c r="B204" s="159" t="s">
        <v>474</v>
      </c>
      <c r="C204" s="159" t="s">
        <v>505</v>
      </c>
      <c r="D204" s="25">
        <v>1</v>
      </c>
      <c r="E204" s="25">
        <v>0</v>
      </c>
      <c r="F204" s="25">
        <f t="shared" si="3"/>
        <v>1</v>
      </c>
      <c r="G204" s="25"/>
    </row>
    <row r="205" spans="1:7">
      <c r="A205" s="159" t="s">
        <v>506</v>
      </c>
      <c r="B205" s="159" t="s">
        <v>474</v>
      </c>
      <c r="C205" s="159" t="s">
        <v>507</v>
      </c>
      <c r="D205" s="25">
        <v>384000</v>
      </c>
      <c r="E205" s="25">
        <v>0</v>
      </c>
      <c r="F205" s="25">
        <f t="shared" si="3"/>
        <v>384000</v>
      </c>
      <c r="G205" s="25">
        <v>384000</v>
      </c>
    </row>
    <row r="206" spans="1:7">
      <c r="A206" s="159" t="s">
        <v>508</v>
      </c>
      <c r="B206" s="159" t="s">
        <v>474</v>
      </c>
      <c r="C206" s="159" t="s">
        <v>509</v>
      </c>
      <c r="D206" s="25">
        <v>459000</v>
      </c>
      <c r="E206" s="25">
        <v>0</v>
      </c>
      <c r="F206" s="25">
        <f t="shared" si="3"/>
        <v>459000</v>
      </c>
      <c r="G206" s="25">
        <v>459000</v>
      </c>
    </row>
    <row r="207" spans="1:7">
      <c r="A207" s="159" t="s">
        <v>510</v>
      </c>
      <c r="B207" s="159" t="s">
        <v>474</v>
      </c>
      <c r="C207" s="159" t="s">
        <v>509</v>
      </c>
      <c r="D207" s="25">
        <v>302000</v>
      </c>
      <c r="E207" s="25">
        <v>0</v>
      </c>
      <c r="F207" s="25">
        <f t="shared" si="3"/>
        <v>302000</v>
      </c>
      <c r="G207" s="25">
        <v>302000</v>
      </c>
    </row>
    <row r="208" spans="1:7">
      <c r="A208" s="159" t="s">
        <v>511</v>
      </c>
      <c r="B208" s="159" t="s">
        <v>474</v>
      </c>
      <c r="C208" s="159" t="s">
        <v>509</v>
      </c>
      <c r="D208" s="25">
        <v>120000</v>
      </c>
      <c r="E208" s="25">
        <v>0</v>
      </c>
      <c r="F208" s="25">
        <f t="shared" si="3"/>
        <v>120000</v>
      </c>
      <c r="G208" s="25">
        <v>120000</v>
      </c>
    </row>
    <row r="209" spans="1:7">
      <c r="A209" s="159" t="s">
        <v>512</v>
      </c>
      <c r="B209" s="159" t="s">
        <v>474</v>
      </c>
      <c r="C209" s="159" t="s">
        <v>509</v>
      </c>
      <c r="D209" s="25">
        <v>4119000</v>
      </c>
      <c r="E209" s="25">
        <v>0</v>
      </c>
      <c r="F209" s="25">
        <f t="shared" si="3"/>
        <v>4119000</v>
      </c>
      <c r="G209" s="25">
        <v>4119000</v>
      </c>
    </row>
    <row r="210" spans="1:7">
      <c r="A210" s="159" t="s">
        <v>513</v>
      </c>
      <c r="B210" s="159" t="s">
        <v>474</v>
      </c>
      <c r="C210" s="159" t="s">
        <v>514</v>
      </c>
      <c r="D210" s="25">
        <v>16000</v>
      </c>
      <c r="E210" s="25">
        <v>0</v>
      </c>
      <c r="F210" s="25">
        <f t="shared" si="3"/>
        <v>16000</v>
      </c>
      <c r="G210" s="25">
        <v>16000</v>
      </c>
    </row>
    <row r="211" spans="1:7">
      <c r="A211" s="159" t="s">
        <v>515</v>
      </c>
      <c r="B211" s="159" t="s">
        <v>474</v>
      </c>
      <c r="C211" s="159" t="s">
        <v>516</v>
      </c>
      <c r="D211" s="25">
        <v>251000</v>
      </c>
      <c r="E211" s="25">
        <v>0</v>
      </c>
      <c r="F211" s="25">
        <f t="shared" si="3"/>
        <v>251000</v>
      </c>
      <c r="G211" s="25">
        <v>251000</v>
      </c>
    </row>
    <row r="212" spans="1:7">
      <c r="A212" s="159" t="s">
        <v>517</v>
      </c>
      <c r="B212" s="159" t="s">
        <v>474</v>
      </c>
      <c r="C212" s="159" t="s">
        <v>518</v>
      </c>
      <c r="D212" s="25">
        <v>182000</v>
      </c>
      <c r="E212" s="25">
        <v>0</v>
      </c>
      <c r="F212" s="25">
        <f t="shared" si="3"/>
        <v>182000</v>
      </c>
      <c r="G212" s="25">
        <v>182000</v>
      </c>
    </row>
    <row r="213" spans="1:7">
      <c r="A213" s="159" t="s">
        <v>519</v>
      </c>
      <c r="B213" s="159" t="s">
        <v>474</v>
      </c>
      <c r="C213" s="159" t="s">
        <v>518</v>
      </c>
      <c r="D213" s="25">
        <v>93000</v>
      </c>
      <c r="E213" s="25">
        <v>0</v>
      </c>
      <c r="F213" s="25">
        <f t="shared" si="3"/>
        <v>93000</v>
      </c>
      <c r="G213" s="25">
        <v>93000</v>
      </c>
    </row>
    <row r="214" spans="1:7">
      <c r="A214" s="159" t="s">
        <v>520</v>
      </c>
      <c r="B214" s="159" t="s">
        <v>474</v>
      </c>
      <c r="C214" s="159" t="s">
        <v>521</v>
      </c>
      <c r="D214" s="25">
        <v>1000</v>
      </c>
      <c r="E214" s="25">
        <v>0</v>
      </c>
      <c r="F214" s="25">
        <f t="shared" si="3"/>
        <v>1000</v>
      </c>
      <c r="G214" s="25">
        <v>1000</v>
      </c>
    </row>
    <row r="215" spans="1:7">
      <c r="A215" s="159" t="s">
        <v>522</v>
      </c>
      <c r="B215" s="159" t="s">
        <v>474</v>
      </c>
      <c r="C215" s="159" t="s">
        <v>521</v>
      </c>
      <c r="D215" s="25">
        <v>17000</v>
      </c>
      <c r="E215" s="25">
        <v>0</v>
      </c>
      <c r="F215" s="25">
        <f t="shared" si="3"/>
        <v>17000</v>
      </c>
      <c r="G215" s="25">
        <v>17000</v>
      </c>
    </row>
    <row r="216" spans="1:7">
      <c r="A216" s="159" t="s">
        <v>523</v>
      </c>
      <c r="B216" s="159" t="s">
        <v>474</v>
      </c>
      <c r="C216" s="159" t="s">
        <v>524</v>
      </c>
      <c r="D216" s="25">
        <v>299000</v>
      </c>
      <c r="E216" s="25">
        <v>0</v>
      </c>
      <c r="F216" s="25">
        <f t="shared" si="3"/>
        <v>299000</v>
      </c>
      <c r="G216" s="25">
        <v>299000</v>
      </c>
    </row>
    <row r="217" spans="1:7">
      <c r="A217" s="159" t="s">
        <v>525</v>
      </c>
      <c r="B217" s="159" t="s">
        <v>474</v>
      </c>
      <c r="C217" s="159" t="s">
        <v>526</v>
      </c>
      <c r="D217" s="25">
        <v>221000</v>
      </c>
      <c r="E217" s="25">
        <v>0</v>
      </c>
      <c r="F217" s="25">
        <f t="shared" si="3"/>
        <v>221000</v>
      </c>
      <c r="G217" s="25">
        <v>221000</v>
      </c>
    </row>
    <row r="218" spans="1:7">
      <c r="A218" s="159" t="s">
        <v>527</v>
      </c>
      <c r="B218" s="159" t="s">
        <v>474</v>
      </c>
      <c r="C218" s="159" t="s">
        <v>528</v>
      </c>
      <c r="D218" s="25">
        <v>500000</v>
      </c>
      <c r="E218" s="25">
        <v>0</v>
      </c>
      <c r="F218" s="25">
        <f t="shared" si="3"/>
        <v>500000</v>
      </c>
      <c r="G218" s="25">
        <v>500000</v>
      </c>
    </row>
    <row r="219" spans="1:7">
      <c r="A219" s="159" t="s">
        <v>529</v>
      </c>
      <c r="B219" s="159" t="s">
        <v>474</v>
      </c>
      <c r="C219" s="159" t="s">
        <v>530</v>
      </c>
      <c r="D219" s="25">
        <v>138000</v>
      </c>
      <c r="E219" s="25">
        <v>0</v>
      </c>
      <c r="F219" s="25">
        <f t="shared" si="3"/>
        <v>138000</v>
      </c>
      <c r="G219" s="25">
        <v>138000</v>
      </c>
    </row>
    <row r="220" spans="1:7">
      <c r="A220" s="159" t="s">
        <v>531</v>
      </c>
      <c r="B220" s="159" t="s">
        <v>474</v>
      </c>
      <c r="C220" s="159" t="s">
        <v>532</v>
      </c>
      <c r="D220" s="25">
        <v>1117000</v>
      </c>
      <c r="E220" s="25">
        <v>0</v>
      </c>
      <c r="F220" s="25">
        <f t="shared" si="3"/>
        <v>1117000</v>
      </c>
      <c r="G220" s="25">
        <v>1117000</v>
      </c>
    </row>
    <row r="221" spans="1:7">
      <c r="A221" s="159" t="s">
        <v>533</v>
      </c>
      <c r="B221" s="159" t="s">
        <v>474</v>
      </c>
      <c r="C221" s="159" t="s">
        <v>534</v>
      </c>
      <c r="D221" s="25">
        <v>180000</v>
      </c>
      <c r="E221" s="25">
        <v>0</v>
      </c>
      <c r="F221" s="25">
        <f t="shared" si="3"/>
        <v>180000</v>
      </c>
      <c r="G221" s="25"/>
    </row>
    <row r="222" spans="1:7">
      <c r="A222" s="159" t="s">
        <v>535</v>
      </c>
      <c r="B222" s="159" t="s">
        <v>536</v>
      </c>
      <c r="C222" s="159" t="s">
        <v>537</v>
      </c>
      <c r="D222" s="25">
        <v>3000</v>
      </c>
      <c r="E222" s="25">
        <v>0</v>
      </c>
      <c r="F222" s="25">
        <f t="shared" si="3"/>
        <v>3000</v>
      </c>
      <c r="G222" s="25">
        <v>3000</v>
      </c>
    </row>
    <row r="223" spans="1:7">
      <c r="A223" s="159" t="s">
        <v>538</v>
      </c>
      <c r="B223" s="159" t="s">
        <v>536</v>
      </c>
      <c r="C223" s="159" t="s">
        <v>539</v>
      </c>
      <c r="D223" s="25">
        <v>450000</v>
      </c>
      <c r="E223" s="25">
        <v>0</v>
      </c>
      <c r="F223" s="25">
        <f t="shared" si="3"/>
        <v>450000</v>
      </c>
      <c r="G223" s="25">
        <v>450000</v>
      </c>
    </row>
    <row r="224" spans="1:7">
      <c r="A224" s="159" t="s">
        <v>540</v>
      </c>
      <c r="B224" s="159" t="s">
        <v>536</v>
      </c>
      <c r="C224" s="159" t="s">
        <v>541</v>
      </c>
      <c r="D224" s="25">
        <v>450000</v>
      </c>
      <c r="E224" s="25">
        <v>0</v>
      </c>
      <c r="F224" s="25">
        <f t="shared" si="3"/>
        <v>450000</v>
      </c>
      <c r="G224" s="25">
        <v>450000</v>
      </c>
    </row>
    <row r="225" spans="1:7">
      <c r="A225" s="159" t="s">
        <v>542</v>
      </c>
      <c r="B225" s="159" t="s">
        <v>536</v>
      </c>
      <c r="C225" s="159" t="s">
        <v>543</v>
      </c>
      <c r="D225" s="25">
        <v>70000</v>
      </c>
      <c r="E225" s="25">
        <v>0</v>
      </c>
      <c r="F225" s="25">
        <f t="shared" si="3"/>
        <v>70000</v>
      </c>
      <c r="G225" s="25"/>
    </row>
    <row r="226" spans="1:7">
      <c r="A226" s="159" t="s">
        <v>544</v>
      </c>
      <c r="B226" s="159" t="s">
        <v>536</v>
      </c>
      <c r="C226" s="159" t="s">
        <v>545</v>
      </c>
      <c r="D226" s="25">
        <v>303000</v>
      </c>
      <c r="E226" s="25">
        <v>0</v>
      </c>
      <c r="F226" s="25">
        <f t="shared" si="3"/>
        <v>303000</v>
      </c>
      <c r="G226" s="25">
        <v>303000</v>
      </c>
    </row>
    <row r="227" spans="1:7">
      <c r="A227" s="159" t="s">
        <v>546</v>
      </c>
      <c r="B227" s="159" t="s">
        <v>536</v>
      </c>
      <c r="C227" s="159" t="s">
        <v>545</v>
      </c>
      <c r="D227" s="25">
        <v>408000</v>
      </c>
      <c r="E227" s="25">
        <v>0</v>
      </c>
      <c r="F227" s="25">
        <f t="shared" si="3"/>
        <v>408000</v>
      </c>
      <c r="G227" s="25">
        <v>408000</v>
      </c>
    </row>
    <row r="228" spans="1:7">
      <c r="A228" s="159" t="s">
        <v>547</v>
      </c>
      <c r="B228" s="159" t="s">
        <v>536</v>
      </c>
      <c r="C228" s="159" t="s">
        <v>545</v>
      </c>
      <c r="D228" s="25">
        <v>144000</v>
      </c>
      <c r="E228" s="25">
        <v>0</v>
      </c>
      <c r="F228" s="25">
        <f t="shared" si="3"/>
        <v>144000</v>
      </c>
      <c r="G228" s="25">
        <v>144000</v>
      </c>
    </row>
    <row r="229" spans="1:7">
      <c r="A229" s="159" t="s">
        <v>548</v>
      </c>
      <c r="B229" s="159" t="s">
        <v>536</v>
      </c>
      <c r="C229" s="159" t="s">
        <v>549</v>
      </c>
      <c r="D229" s="25">
        <v>823000</v>
      </c>
      <c r="E229" s="25">
        <v>0</v>
      </c>
      <c r="F229" s="25">
        <f t="shared" si="3"/>
        <v>823000</v>
      </c>
      <c r="G229" s="25">
        <v>823000</v>
      </c>
    </row>
    <row r="230" spans="1:7">
      <c r="A230" s="159" t="s">
        <v>550</v>
      </c>
      <c r="B230" s="159" t="s">
        <v>536</v>
      </c>
      <c r="C230" s="159" t="s">
        <v>549</v>
      </c>
      <c r="D230" s="25">
        <v>369000</v>
      </c>
      <c r="E230" s="25">
        <v>0</v>
      </c>
      <c r="F230" s="25">
        <f t="shared" si="3"/>
        <v>369000</v>
      </c>
      <c r="G230" s="25">
        <v>369000</v>
      </c>
    </row>
    <row r="231" spans="1:7">
      <c r="A231" s="159" t="s">
        <v>551</v>
      </c>
      <c r="B231" s="159" t="s">
        <v>536</v>
      </c>
      <c r="C231" s="159" t="s">
        <v>552</v>
      </c>
      <c r="D231" s="25">
        <v>134000</v>
      </c>
      <c r="E231" s="25">
        <v>0</v>
      </c>
      <c r="F231" s="25">
        <f t="shared" si="3"/>
        <v>134000</v>
      </c>
      <c r="G231" s="25">
        <v>134000</v>
      </c>
    </row>
    <row r="232" spans="1:7">
      <c r="A232" s="159" t="s">
        <v>553</v>
      </c>
      <c r="B232" s="159" t="s">
        <v>536</v>
      </c>
      <c r="C232" s="159" t="s">
        <v>552</v>
      </c>
      <c r="D232" s="25">
        <v>1182000</v>
      </c>
      <c r="E232" s="25">
        <v>0</v>
      </c>
      <c r="F232" s="25">
        <f t="shared" si="3"/>
        <v>1182000</v>
      </c>
      <c r="G232" s="25">
        <v>1182000</v>
      </c>
    </row>
    <row r="233" spans="1:7">
      <c r="A233" s="159" t="s">
        <v>554</v>
      </c>
      <c r="B233" s="159" t="s">
        <v>536</v>
      </c>
      <c r="C233" s="159" t="s">
        <v>552</v>
      </c>
      <c r="D233" s="25">
        <v>1835000</v>
      </c>
      <c r="E233" s="25">
        <v>0</v>
      </c>
      <c r="F233" s="25">
        <f t="shared" si="3"/>
        <v>1835000</v>
      </c>
      <c r="G233" s="25">
        <v>1835000</v>
      </c>
    </row>
    <row r="234" spans="1:7">
      <c r="A234" s="159" t="s">
        <v>555</v>
      </c>
      <c r="B234" s="159" t="s">
        <v>536</v>
      </c>
      <c r="C234" s="159" t="s">
        <v>552</v>
      </c>
      <c r="D234" s="25">
        <v>473000</v>
      </c>
      <c r="E234" s="25">
        <v>0</v>
      </c>
      <c r="F234" s="25">
        <f t="shared" si="3"/>
        <v>473000</v>
      </c>
      <c r="G234" s="25">
        <v>473000</v>
      </c>
    </row>
    <row r="235" spans="1:7">
      <c r="A235" s="159" t="s">
        <v>556</v>
      </c>
      <c r="B235" s="159" t="s">
        <v>536</v>
      </c>
      <c r="C235" s="159" t="s">
        <v>552</v>
      </c>
      <c r="D235" s="25">
        <v>223000</v>
      </c>
      <c r="E235" s="25">
        <v>0</v>
      </c>
      <c r="F235" s="25">
        <f t="shared" si="3"/>
        <v>223000</v>
      </c>
      <c r="G235" s="25">
        <v>223000</v>
      </c>
    </row>
    <row r="236" spans="1:7">
      <c r="A236" s="159" t="s">
        <v>557</v>
      </c>
      <c r="B236" s="159" t="s">
        <v>536</v>
      </c>
      <c r="C236" s="159" t="s">
        <v>558</v>
      </c>
      <c r="D236" s="25">
        <v>97000</v>
      </c>
      <c r="E236" s="25">
        <v>0</v>
      </c>
      <c r="F236" s="25">
        <f t="shared" si="3"/>
        <v>97000</v>
      </c>
      <c r="G236" s="25">
        <v>97000</v>
      </c>
    </row>
    <row r="237" spans="1:7">
      <c r="A237" s="159" t="s">
        <v>559</v>
      </c>
      <c r="B237" s="159" t="s">
        <v>536</v>
      </c>
      <c r="C237" s="159" t="s">
        <v>558</v>
      </c>
      <c r="D237" s="25">
        <v>34000</v>
      </c>
      <c r="E237" s="25">
        <v>0</v>
      </c>
      <c r="F237" s="25">
        <f t="shared" si="3"/>
        <v>34000</v>
      </c>
      <c r="G237" s="25">
        <v>34000</v>
      </c>
    </row>
    <row r="238" spans="1:7">
      <c r="A238" s="159" t="s">
        <v>560</v>
      </c>
      <c r="B238" s="159" t="s">
        <v>536</v>
      </c>
      <c r="C238" s="159" t="s">
        <v>561</v>
      </c>
      <c r="D238" s="25">
        <v>233000</v>
      </c>
      <c r="E238" s="25">
        <v>0</v>
      </c>
      <c r="F238" s="25">
        <f t="shared" si="3"/>
        <v>233000</v>
      </c>
      <c r="G238" s="25">
        <v>233000</v>
      </c>
    </row>
    <row r="239" spans="1:7">
      <c r="A239" s="159" t="s">
        <v>562</v>
      </c>
      <c r="B239" s="159" t="s">
        <v>536</v>
      </c>
      <c r="C239" s="159" t="s">
        <v>563</v>
      </c>
      <c r="D239" s="25">
        <v>1030000</v>
      </c>
      <c r="E239" s="25">
        <v>0</v>
      </c>
      <c r="F239" s="25">
        <f t="shared" si="3"/>
        <v>1030000</v>
      </c>
      <c r="G239" s="25">
        <v>1030000</v>
      </c>
    </row>
    <row r="240" spans="1:7">
      <c r="A240" s="159" t="s">
        <v>564</v>
      </c>
      <c r="B240" s="159" t="s">
        <v>536</v>
      </c>
      <c r="C240" s="159" t="s">
        <v>565</v>
      </c>
      <c r="D240" s="25">
        <v>4201000</v>
      </c>
      <c r="E240" s="25">
        <v>0</v>
      </c>
      <c r="F240" s="25">
        <f t="shared" si="3"/>
        <v>4201000</v>
      </c>
      <c r="G240" s="25">
        <v>4201000</v>
      </c>
    </row>
    <row r="241" spans="1:7">
      <c r="A241" s="159" t="s">
        <v>566</v>
      </c>
      <c r="B241" s="159" t="s">
        <v>536</v>
      </c>
      <c r="C241" s="159" t="s">
        <v>567</v>
      </c>
      <c r="D241" s="25">
        <v>3232000</v>
      </c>
      <c r="E241" s="25">
        <v>0</v>
      </c>
      <c r="F241" s="25">
        <f t="shared" si="3"/>
        <v>3232000</v>
      </c>
      <c r="G241" s="25">
        <v>3232000</v>
      </c>
    </row>
    <row r="242" spans="1:7">
      <c r="A242" s="159" t="s">
        <v>568</v>
      </c>
      <c r="B242" s="159" t="s">
        <v>536</v>
      </c>
      <c r="C242" s="159" t="s">
        <v>569</v>
      </c>
      <c r="D242" s="25">
        <v>7369000</v>
      </c>
      <c r="E242" s="25">
        <v>0</v>
      </c>
      <c r="F242" s="25">
        <f t="shared" si="3"/>
        <v>7369000</v>
      </c>
      <c r="G242" s="25"/>
    </row>
    <row r="243" spans="1:7">
      <c r="A243" s="159" t="s">
        <v>570</v>
      </c>
      <c r="B243" s="159" t="s">
        <v>536</v>
      </c>
      <c r="C243" s="159" t="s">
        <v>571</v>
      </c>
      <c r="D243" s="25">
        <v>400000</v>
      </c>
      <c r="E243" s="25">
        <v>0</v>
      </c>
      <c r="F243" s="25">
        <f t="shared" si="3"/>
        <v>400000</v>
      </c>
      <c r="G243" s="25">
        <v>400000</v>
      </c>
    </row>
    <row r="244" spans="1:7">
      <c r="A244" s="159" t="s">
        <v>572</v>
      </c>
      <c r="B244" s="159" t="s">
        <v>536</v>
      </c>
      <c r="C244" s="159" t="s">
        <v>573</v>
      </c>
      <c r="D244" s="25">
        <v>648000</v>
      </c>
      <c r="E244" s="25">
        <v>0</v>
      </c>
      <c r="F244" s="25">
        <f t="shared" si="3"/>
        <v>648000</v>
      </c>
      <c r="G244" s="25"/>
    </row>
    <row r="245" spans="1:7">
      <c r="A245" s="159" t="s">
        <v>574</v>
      </c>
      <c r="B245" s="159" t="s">
        <v>536</v>
      </c>
      <c r="C245" s="159" t="s">
        <v>575</v>
      </c>
      <c r="D245" s="25">
        <v>3086000</v>
      </c>
      <c r="E245" s="25">
        <v>0</v>
      </c>
      <c r="F245" s="25">
        <f t="shared" si="3"/>
        <v>3086000</v>
      </c>
      <c r="G245" s="25">
        <v>3086000</v>
      </c>
    </row>
    <row r="246" spans="1:7">
      <c r="A246" s="159" t="s">
        <v>576</v>
      </c>
      <c r="B246" s="159" t="s">
        <v>536</v>
      </c>
      <c r="C246" s="159" t="s">
        <v>577</v>
      </c>
      <c r="D246" s="25">
        <v>800000</v>
      </c>
      <c r="E246" s="25">
        <v>0</v>
      </c>
      <c r="F246" s="25">
        <f t="shared" si="3"/>
        <v>800000</v>
      </c>
      <c r="G246" s="25">
        <v>800000</v>
      </c>
    </row>
    <row r="247" spans="1:7">
      <c r="A247" s="159" t="s">
        <v>578</v>
      </c>
      <c r="B247" s="159" t="s">
        <v>536</v>
      </c>
      <c r="C247" s="159" t="s">
        <v>577</v>
      </c>
      <c r="D247" s="25">
        <v>1519375</v>
      </c>
      <c r="E247" s="25">
        <v>0</v>
      </c>
      <c r="F247" s="25">
        <f t="shared" si="3"/>
        <v>1519375</v>
      </c>
      <c r="G247" s="25">
        <v>1519375</v>
      </c>
    </row>
    <row r="248" spans="1:7">
      <c r="A248" s="159" t="s">
        <v>579</v>
      </c>
      <c r="B248" s="159" t="s">
        <v>536</v>
      </c>
      <c r="C248" s="159" t="s">
        <v>577</v>
      </c>
      <c r="D248" s="25">
        <v>775000</v>
      </c>
      <c r="E248" s="25">
        <v>0</v>
      </c>
      <c r="F248" s="25">
        <f t="shared" si="3"/>
        <v>775000</v>
      </c>
      <c r="G248" s="25">
        <v>775000</v>
      </c>
    </row>
    <row r="249" spans="1:7">
      <c r="A249" s="159" t="s">
        <v>580</v>
      </c>
      <c r="B249" s="159" t="s">
        <v>536</v>
      </c>
      <c r="C249" s="159" t="s">
        <v>577</v>
      </c>
      <c r="D249" s="25">
        <v>279000</v>
      </c>
      <c r="E249" s="25">
        <v>0</v>
      </c>
      <c r="F249" s="25">
        <f t="shared" si="3"/>
        <v>279000</v>
      </c>
      <c r="G249" s="25">
        <v>279000</v>
      </c>
    </row>
    <row r="250" spans="1:7">
      <c r="A250" s="159" t="s">
        <v>581</v>
      </c>
      <c r="B250" s="159" t="s">
        <v>536</v>
      </c>
      <c r="C250" s="159" t="s">
        <v>582</v>
      </c>
      <c r="D250" s="25">
        <v>142000</v>
      </c>
      <c r="E250" s="25">
        <v>0</v>
      </c>
      <c r="F250" s="25">
        <f t="shared" si="3"/>
        <v>142000</v>
      </c>
      <c r="G250" s="25">
        <v>142000</v>
      </c>
    </row>
    <row r="251" spans="1:7">
      <c r="A251" s="159" t="s">
        <v>583</v>
      </c>
      <c r="B251" s="159" t="s">
        <v>584</v>
      </c>
      <c r="C251" s="159" t="s">
        <v>483</v>
      </c>
      <c r="D251" s="25">
        <v>325000</v>
      </c>
      <c r="E251" s="25">
        <v>0</v>
      </c>
      <c r="F251" s="25">
        <f t="shared" si="3"/>
        <v>325000</v>
      </c>
      <c r="G251" s="25">
        <v>325000</v>
      </c>
    </row>
    <row r="252" spans="1:7">
      <c r="A252" s="159" t="s">
        <v>585</v>
      </c>
      <c r="B252" s="159" t="s">
        <v>584</v>
      </c>
      <c r="C252" s="159" t="s">
        <v>586</v>
      </c>
      <c r="D252" s="25">
        <v>557500</v>
      </c>
      <c r="E252" s="25">
        <v>0</v>
      </c>
      <c r="F252" s="25">
        <f t="shared" si="3"/>
        <v>557500</v>
      </c>
      <c r="G252" s="25"/>
    </row>
    <row r="253" spans="1:7">
      <c r="A253" s="159" t="s">
        <v>587</v>
      </c>
      <c r="B253" s="159" t="s">
        <v>588</v>
      </c>
      <c r="C253" s="159" t="s">
        <v>589</v>
      </c>
      <c r="D253" s="25">
        <v>1105000</v>
      </c>
      <c r="E253" s="25">
        <v>0</v>
      </c>
      <c r="F253" s="25">
        <f t="shared" si="3"/>
        <v>1105000</v>
      </c>
      <c r="G253" s="25">
        <v>1105000</v>
      </c>
    </row>
    <row r="254" spans="1:7">
      <c r="A254" s="159" t="s">
        <v>590</v>
      </c>
      <c r="B254" s="159" t="s">
        <v>588</v>
      </c>
      <c r="C254" s="159" t="s">
        <v>591</v>
      </c>
      <c r="D254" s="25">
        <v>25000</v>
      </c>
      <c r="E254" s="25">
        <v>0</v>
      </c>
      <c r="F254" s="25">
        <f t="shared" si="3"/>
        <v>25000</v>
      </c>
      <c r="G254" s="25"/>
    </row>
    <row r="255" spans="1:7">
      <c r="A255" s="159" t="s">
        <v>592</v>
      </c>
      <c r="B255" s="159" t="s">
        <v>588</v>
      </c>
      <c r="C255" s="159" t="s">
        <v>577</v>
      </c>
      <c r="D255" s="25">
        <v>492000</v>
      </c>
      <c r="E255" s="25">
        <v>0</v>
      </c>
      <c r="F255" s="25">
        <f t="shared" si="3"/>
        <v>492000</v>
      </c>
      <c r="G255" s="25">
        <v>492000</v>
      </c>
    </row>
    <row r="256" spans="1:7">
      <c r="A256" s="159" t="s">
        <v>593</v>
      </c>
      <c r="B256" s="159" t="s">
        <v>594</v>
      </c>
      <c r="C256" s="159" t="s">
        <v>595</v>
      </c>
      <c r="D256" s="25">
        <v>15724898</v>
      </c>
      <c r="E256" s="25">
        <v>1009783</v>
      </c>
      <c r="F256" s="25">
        <f t="shared" si="3"/>
        <v>14715115</v>
      </c>
      <c r="G256" s="25"/>
    </row>
    <row r="257" spans="1:7">
      <c r="A257" s="159" t="s">
        <v>596</v>
      </c>
      <c r="B257" s="159" t="s">
        <v>597</v>
      </c>
      <c r="C257" s="159" t="s">
        <v>475</v>
      </c>
      <c r="D257" s="25">
        <v>40388000</v>
      </c>
      <c r="E257" s="25">
        <v>8681775</v>
      </c>
      <c r="F257" s="25">
        <f t="shared" si="3"/>
        <v>31706225</v>
      </c>
      <c r="G257" s="25"/>
    </row>
    <row r="258" spans="1:7">
      <c r="A258" s="159" t="s">
        <v>598</v>
      </c>
      <c r="B258" s="159" t="s">
        <v>597</v>
      </c>
      <c r="C258" s="159" t="s">
        <v>475</v>
      </c>
      <c r="D258" s="25">
        <v>12506320</v>
      </c>
      <c r="E258" s="25">
        <v>2188781</v>
      </c>
      <c r="F258" s="25">
        <f t="shared" si="3"/>
        <v>10317539</v>
      </c>
      <c r="G258" s="25"/>
    </row>
    <row r="259" spans="1:7">
      <c r="A259" s="159" t="s">
        <v>599</v>
      </c>
      <c r="B259" s="159" t="s">
        <v>597</v>
      </c>
      <c r="C259" s="159" t="s">
        <v>600</v>
      </c>
      <c r="D259" s="25">
        <v>6787000</v>
      </c>
      <c r="E259" s="25">
        <v>1458927</v>
      </c>
      <c r="F259" s="25">
        <f t="shared" si="3"/>
        <v>5328073</v>
      </c>
      <c r="G259" s="25"/>
    </row>
    <row r="260" spans="1:7">
      <c r="A260" s="159" t="s">
        <v>601</v>
      </c>
      <c r="B260" s="159" t="s">
        <v>597</v>
      </c>
      <c r="C260" s="159" t="s">
        <v>602</v>
      </c>
      <c r="D260" s="25">
        <v>19636000</v>
      </c>
      <c r="E260" s="25">
        <v>4220937</v>
      </c>
      <c r="F260" s="25">
        <f t="shared" ref="F260:F323" si="4">D260-E260</f>
        <v>15415063</v>
      </c>
      <c r="G260" s="25"/>
    </row>
    <row r="261" spans="1:7">
      <c r="A261" s="159" t="s">
        <v>603</v>
      </c>
      <c r="B261" s="159" t="s">
        <v>597</v>
      </c>
      <c r="C261" s="159" t="s">
        <v>493</v>
      </c>
      <c r="D261" s="25">
        <v>12540000</v>
      </c>
      <c r="E261" s="25">
        <v>2695580</v>
      </c>
      <c r="F261" s="25">
        <f t="shared" si="4"/>
        <v>9844420</v>
      </c>
      <c r="G261" s="25"/>
    </row>
    <row r="262" spans="1:7">
      <c r="A262" s="159" t="s">
        <v>604</v>
      </c>
      <c r="B262" s="159" t="s">
        <v>597</v>
      </c>
      <c r="C262" s="159" t="s">
        <v>495</v>
      </c>
      <c r="D262" s="25">
        <v>24213776</v>
      </c>
      <c r="E262" s="25">
        <v>4849553</v>
      </c>
      <c r="F262" s="25">
        <f t="shared" si="4"/>
        <v>19364223</v>
      </c>
      <c r="G262" s="25"/>
    </row>
    <row r="263" spans="1:7">
      <c r="A263" s="159" t="s">
        <v>605</v>
      </c>
      <c r="B263" s="159" t="s">
        <v>597</v>
      </c>
      <c r="C263" s="159" t="s">
        <v>497</v>
      </c>
      <c r="D263" s="25">
        <v>70964666</v>
      </c>
      <c r="E263" s="25">
        <v>5835297</v>
      </c>
      <c r="F263" s="25">
        <f t="shared" si="4"/>
        <v>65129369</v>
      </c>
      <c r="G263" s="25"/>
    </row>
    <row r="264" spans="1:7">
      <c r="A264" s="159" t="s">
        <v>606</v>
      </c>
      <c r="B264" s="159" t="s">
        <v>597</v>
      </c>
      <c r="C264" s="159" t="s">
        <v>607</v>
      </c>
      <c r="D264" s="25">
        <v>58610022</v>
      </c>
      <c r="E264" s="25">
        <v>8127884</v>
      </c>
      <c r="F264" s="25">
        <f t="shared" si="4"/>
        <v>50482138</v>
      </c>
      <c r="G264" s="25"/>
    </row>
    <row r="265" spans="1:7">
      <c r="A265" s="159" t="s">
        <v>608</v>
      </c>
      <c r="B265" s="159" t="s">
        <v>597</v>
      </c>
      <c r="C265" s="159" t="s">
        <v>609</v>
      </c>
      <c r="D265" s="25">
        <v>82245502</v>
      </c>
      <c r="E265" s="25">
        <v>3847310</v>
      </c>
      <c r="F265" s="25">
        <f t="shared" si="4"/>
        <v>78398192</v>
      </c>
      <c r="G265" s="25"/>
    </row>
    <row r="266" spans="1:7">
      <c r="A266" s="159" t="s">
        <v>610</v>
      </c>
      <c r="B266" s="159" t="s">
        <v>597</v>
      </c>
      <c r="C266" s="159" t="s">
        <v>611</v>
      </c>
      <c r="D266" s="25">
        <v>25299103</v>
      </c>
      <c r="E266" s="25">
        <v>1892239</v>
      </c>
      <c r="F266" s="25">
        <f t="shared" si="4"/>
        <v>23406864</v>
      </c>
      <c r="G266" s="25"/>
    </row>
    <row r="267" spans="1:7">
      <c r="A267" s="159" t="s">
        <v>612</v>
      </c>
      <c r="B267" s="159" t="s">
        <v>597</v>
      </c>
      <c r="C267" s="159" t="s">
        <v>577</v>
      </c>
      <c r="D267" s="25">
        <v>25366036</v>
      </c>
      <c r="E267" s="25">
        <v>1897247</v>
      </c>
      <c r="F267" s="25">
        <f t="shared" si="4"/>
        <v>23468789</v>
      </c>
      <c r="G267" s="25">
        <v>23468789</v>
      </c>
    </row>
    <row r="268" spans="1:7">
      <c r="A268" s="159" t="s">
        <v>613</v>
      </c>
      <c r="B268" s="159" t="s">
        <v>597</v>
      </c>
      <c r="C268" s="159" t="s">
        <v>614</v>
      </c>
      <c r="D268" s="25">
        <v>62334193</v>
      </c>
      <c r="E268" s="25">
        <v>4662270</v>
      </c>
      <c r="F268" s="25">
        <f t="shared" si="4"/>
        <v>57671923</v>
      </c>
      <c r="G268" s="25">
        <v>57671923</v>
      </c>
    </row>
    <row r="269" spans="1:7">
      <c r="A269" s="159" t="s">
        <v>615</v>
      </c>
      <c r="B269" s="159" t="s">
        <v>616</v>
      </c>
      <c r="C269" s="159" t="s">
        <v>589</v>
      </c>
      <c r="D269" s="25">
        <v>2620250</v>
      </c>
      <c r="E269" s="25">
        <v>422299</v>
      </c>
      <c r="F269" s="25">
        <f t="shared" si="4"/>
        <v>2197951</v>
      </c>
      <c r="G269" s="25">
        <v>2197951</v>
      </c>
    </row>
    <row r="270" spans="1:7">
      <c r="A270" s="159" t="s">
        <v>617</v>
      </c>
      <c r="B270" s="159" t="s">
        <v>616</v>
      </c>
      <c r="C270" s="159" t="s">
        <v>618</v>
      </c>
      <c r="D270" s="25">
        <v>1000000</v>
      </c>
      <c r="E270" s="25">
        <v>147507</v>
      </c>
      <c r="F270" s="25">
        <f t="shared" si="4"/>
        <v>852493</v>
      </c>
      <c r="G270" s="25"/>
    </row>
    <row r="271" spans="1:7">
      <c r="A271" s="159" t="s">
        <v>619</v>
      </c>
      <c r="B271" s="159" t="s">
        <v>616</v>
      </c>
      <c r="C271" s="159" t="s">
        <v>571</v>
      </c>
      <c r="D271" s="25">
        <v>3181106</v>
      </c>
      <c r="E271" s="25">
        <v>428795</v>
      </c>
      <c r="F271" s="25">
        <f t="shared" si="4"/>
        <v>2752311</v>
      </c>
      <c r="G271" s="25">
        <v>2752311</v>
      </c>
    </row>
    <row r="272" spans="1:7">
      <c r="A272" s="159" t="s">
        <v>620</v>
      </c>
      <c r="B272" s="159" t="s">
        <v>616</v>
      </c>
      <c r="C272" s="159" t="s">
        <v>573</v>
      </c>
      <c r="D272" s="25">
        <v>9359000</v>
      </c>
      <c r="E272" s="25">
        <v>1356528</v>
      </c>
      <c r="F272" s="25">
        <f t="shared" si="4"/>
        <v>8002472</v>
      </c>
      <c r="G272" s="25"/>
    </row>
    <row r="273" spans="1:7">
      <c r="A273" s="159" t="s">
        <v>621</v>
      </c>
      <c r="B273" s="159" t="s">
        <v>622</v>
      </c>
      <c r="C273" s="159" t="s">
        <v>623</v>
      </c>
      <c r="D273" s="25">
        <v>1093000</v>
      </c>
      <c r="E273" s="25">
        <v>0</v>
      </c>
      <c r="F273" s="25">
        <f t="shared" si="4"/>
        <v>1093000</v>
      </c>
      <c r="G273" s="25"/>
    </row>
    <row r="274" spans="1:7">
      <c r="A274" s="159" t="s">
        <v>624</v>
      </c>
      <c r="B274" s="159" t="s">
        <v>622</v>
      </c>
      <c r="C274" s="159" t="s">
        <v>577</v>
      </c>
      <c r="D274" s="25">
        <v>4113604</v>
      </c>
      <c r="E274" s="25">
        <v>0</v>
      </c>
      <c r="F274" s="25">
        <f t="shared" si="4"/>
        <v>4113604</v>
      </c>
      <c r="G274" s="25">
        <v>4113604</v>
      </c>
    </row>
    <row r="275" spans="1:7">
      <c r="A275" s="159" t="s">
        <v>625</v>
      </c>
      <c r="B275" s="159" t="s">
        <v>622</v>
      </c>
      <c r="C275" s="159" t="s">
        <v>626</v>
      </c>
      <c r="D275" s="25">
        <v>7537847</v>
      </c>
      <c r="E275" s="25">
        <v>0</v>
      </c>
      <c r="F275" s="25">
        <f t="shared" si="4"/>
        <v>7537847</v>
      </c>
      <c r="G275" s="25"/>
    </row>
    <row r="276" spans="1:7">
      <c r="A276" s="159" t="s">
        <v>627</v>
      </c>
      <c r="B276" s="159" t="s">
        <v>628</v>
      </c>
      <c r="C276" s="159" t="s">
        <v>629</v>
      </c>
      <c r="D276" s="25">
        <v>614000</v>
      </c>
      <c r="E276" s="25">
        <v>0</v>
      </c>
      <c r="F276" s="25">
        <f t="shared" si="4"/>
        <v>614000</v>
      </c>
      <c r="G276" s="25"/>
    </row>
    <row r="277" spans="1:7">
      <c r="A277" s="159" t="s">
        <v>630</v>
      </c>
      <c r="B277" s="159" t="s">
        <v>631</v>
      </c>
      <c r="C277" s="159" t="s">
        <v>623</v>
      </c>
      <c r="D277" s="25">
        <v>1</v>
      </c>
      <c r="E277" s="25">
        <v>0</v>
      </c>
      <c r="F277" s="25">
        <f t="shared" si="4"/>
        <v>1</v>
      </c>
      <c r="G277" s="25"/>
    </row>
    <row r="278" spans="1:7">
      <c r="A278" s="159" t="s">
        <v>632</v>
      </c>
      <c r="B278" s="159" t="s">
        <v>631</v>
      </c>
      <c r="C278" s="159" t="s">
        <v>633</v>
      </c>
      <c r="D278" s="25">
        <v>5820572</v>
      </c>
      <c r="E278" s="25">
        <v>1742301</v>
      </c>
      <c r="F278" s="25">
        <f t="shared" si="4"/>
        <v>4078271</v>
      </c>
      <c r="G278" s="25"/>
    </row>
    <row r="279" spans="1:7">
      <c r="A279" s="159" t="s">
        <v>634</v>
      </c>
      <c r="B279" s="159" t="s">
        <v>631</v>
      </c>
      <c r="C279" s="159" t="s">
        <v>633</v>
      </c>
      <c r="D279" s="25">
        <v>688000</v>
      </c>
      <c r="E279" s="25">
        <v>221832</v>
      </c>
      <c r="F279" s="25">
        <f t="shared" si="4"/>
        <v>466168</v>
      </c>
      <c r="G279" s="25"/>
    </row>
    <row r="280" spans="1:7">
      <c r="A280" s="159" t="s">
        <v>635</v>
      </c>
      <c r="B280" s="159" t="s">
        <v>631</v>
      </c>
      <c r="C280" s="159" t="s">
        <v>633</v>
      </c>
      <c r="D280" s="25">
        <v>550000</v>
      </c>
      <c r="E280" s="25">
        <v>177343</v>
      </c>
      <c r="F280" s="25">
        <f t="shared" si="4"/>
        <v>372657</v>
      </c>
      <c r="G280" s="25"/>
    </row>
    <row r="281" spans="1:7">
      <c r="A281" s="159" t="s">
        <v>636</v>
      </c>
      <c r="B281" s="159" t="s">
        <v>631</v>
      </c>
      <c r="C281" s="159" t="s">
        <v>637</v>
      </c>
      <c r="D281" s="25">
        <v>1</v>
      </c>
      <c r="E281" s="25">
        <v>0</v>
      </c>
      <c r="F281" s="25">
        <f t="shared" si="4"/>
        <v>1</v>
      </c>
      <c r="G281" s="25"/>
    </row>
    <row r="282" spans="1:7">
      <c r="A282" s="159" t="s">
        <v>638</v>
      </c>
      <c r="B282" s="159" t="s">
        <v>631</v>
      </c>
      <c r="C282" s="159" t="s">
        <v>637</v>
      </c>
      <c r="D282" s="25">
        <v>1300000</v>
      </c>
      <c r="E282" s="25">
        <v>419167</v>
      </c>
      <c r="F282" s="25">
        <f t="shared" si="4"/>
        <v>880833</v>
      </c>
      <c r="G282" s="25"/>
    </row>
    <row r="283" spans="1:7">
      <c r="A283" s="159" t="s">
        <v>639</v>
      </c>
      <c r="B283" s="159" t="s">
        <v>631</v>
      </c>
      <c r="C283" s="159" t="s">
        <v>637</v>
      </c>
      <c r="D283" s="25">
        <v>1</v>
      </c>
      <c r="E283" s="25">
        <v>0</v>
      </c>
      <c r="F283" s="25">
        <f t="shared" si="4"/>
        <v>1</v>
      </c>
      <c r="G283" s="25"/>
    </row>
    <row r="284" spans="1:7">
      <c r="A284" s="159" t="s">
        <v>640</v>
      </c>
      <c r="B284" s="159" t="s">
        <v>631</v>
      </c>
      <c r="C284" s="159" t="s">
        <v>641</v>
      </c>
      <c r="D284" s="25">
        <v>7755000</v>
      </c>
      <c r="E284" s="25">
        <v>2500542</v>
      </c>
      <c r="F284" s="25">
        <f t="shared" si="4"/>
        <v>5254458</v>
      </c>
      <c r="G284" s="25"/>
    </row>
    <row r="285" spans="1:7">
      <c r="A285" s="159" t="s">
        <v>642</v>
      </c>
      <c r="B285" s="159" t="s">
        <v>631</v>
      </c>
      <c r="C285" s="159" t="s">
        <v>641</v>
      </c>
      <c r="D285" s="25">
        <v>2340000</v>
      </c>
      <c r="E285" s="25">
        <v>754513</v>
      </c>
      <c r="F285" s="25">
        <f t="shared" si="4"/>
        <v>1585487</v>
      </c>
      <c r="G285" s="25"/>
    </row>
    <row r="286" spans="1:7">
      <c r="A286" s="159" t="s">
        <v>643</v>
      </c>
      <c r="B286" s="159" t="s">
        <v>631</v>
      </c>
      <c r="C286" s="159" t="s">
        <v>641</v>
      </c>
      <c r="D286" s="25">
        <v>1</v>
      </c>
      <c r="E286" s="25">
        <v>0</v>
      </c>
      <c r="F286" s="25">
        <f t="shared" si="4"/>
        <v>1</v>
      </c>
      <c r="G286" s="25"/>
    </row>
    <row r="287" spans="1:7">
      <c r="A287" s="159" t="s">
        <v>644</v>
      </c>
      <c r="B287" s="159" t="s">
        <v>631</v>
      </c>
      <c r="C287" s="159" t="s">
        <v>645</v>
      </c>
      <c r="D287" s="25">
        <v>1</v>
      </c>
      <c r="E287" s="25">
        <v>0</v>
      </c>
      <c r="F287" s="25">
        <f t="shared" si="4"/>
        <v>1</v>
      </c>
      <c r="G287" s="25"/>
    </row>
    <row r="288" spans="1:7">
      <c r="A288" s="159" t="s">
        <v>646</v>
      </c>
      <c r="B288" s="159" t="s">
        <v>631</v>
      </c>
      <c r="C288" s="159" t="s">
        <v>645</v>
      </c>
      <c r="D288" s="25">
        <v>3100000</v>
      </c>
      <c r="E288" s="25">
        <v>999569</v>
      </c>
      <c r="F288" s="25">
        <f t="shared" si="4"/>
        <v>2100431</v>
      </c>
      <c r="G288" s="25"/>
    </row>
    <row r="289" spans="1:7">
      <c r="A289" s="159" t="s">
        <v>647</v>
      </c>
      <c r="B289" s="159" t="s">
        <v>631</v>
      </c>
      <c r="C289" s="159" t="s">
        <v>645</v>
      </c>
      <c r="D289" s="25">
        <v>1</v>
      </c>
      <c r="E289" s="25">
        <v>0</v>
      </c>
      <c r="F289" s="25">
        <f t="shared" si="4"/>
        <v>1</v>
      </c>
      <c r="G289" s="25"/>
    </row>
    <row r="290" spans="1:7">
      <c r="A290" s="159" t="s">
        <v>648</v>
      </c>
      <c r="B290" s="159" t="s">
        <v>631</v>
      </c>
      <c r="C290" s="159" t="s">
        <v>649</v>
      </c>
      <c r="D290" s="25">
        <v>4463000</v>
      </c>
      <c r="E290" s="25">
        <v>1305540</v>
      </c>
      <c r="F290" s="25">
        <f t="shared" si="4"/>
        <v>3157460</v>
      </c>
      <c r="G290" s="25"/>
    </row>
    <row r="291" spans="1:7">
      <c r="A291" s="159" t="s">
        <v>650</v>
      </c>
      <c r="B291" s="159" t="s">
        <v>631</v>
      </c>
      <c r="C291" s="159" t="s">
        <v>649</v>
      </c>
      <c r="D291" s="25">
        <v>1020000</v>
      </c>
      <c r="E291" s="25">
        <v>298375</v>
      </c>
      <c r="F291" s="25">
        <f t="shared" si="4"/>
        <v>721625</v>
      </c>
      <c r="G291" s="25"/>
    </row>
    <row r="292" spans="1:7">
      <c r="A292" s="159" t="s">
        <v>651</v>
      </c>
      <c r="B292" s="159" t="s">
        <v>631</v>
      </c>
      <c r="C292" s="159" t="s">
        <v>649</v>
      </c>
      <c r="D292" s="25">
        <v>1</v>
      </c>
      <c r="E292" s="25">
        <v>0</v>
      </c>
      <c r="F292" s="25">
        <f t="shared" si="4"/>
        <v>1</v>
      </c>
      <c r="G292" s="25"/>
    </row>
    <row r="293" spans="1:7">
      <c r="A293" s="159" t="s">
        <v>652</v>
      </c>
      <c r="B293" s="159" t="s">
        <v>631</v>
      </c>
      <c r="C293" s="159" t="s">
        <v>653</v>
      </c>
      <c r="D293" s="25">
        <v>13234000</v>
      </c>
      <c r="E293" s="25">
        <v>4267193</v>
      </c>
      <c r="F293" s="25">
        <f t="shared" si="4"/>
        <v>8966807</v>
      </c>
      <c r="G293" s="25"/>
    </row>
    <row r="294" spans="1:7">
      <c r="A294" s="159" t="s">
        <v>654</v>
      </c>
      <c r="B294" s="159" t="s">
        <v>631</v>
      </c>
      <c r="C294" s="159" t="s">
        <v>653</v>
      </c>
      <c r="D294" s="25">
        <v>4620000</v>
      </c>
      <c r="E294" s="25">
        <v>1489681</v>
      </c>
      <c r="F294" s="25">
        <f t="shared" si="4"/>
        <v>3130319</v>
      </c>
      <c r="G294" s="25"/>
    </row>
    <row r="295" spans="1:7">
      <c r="A295" s="159" t="s">
        <v>655</v>
      </c>
      <c r="B295" s="159" t="s">
        <v>631</v>
      </c>
      <c r="C295" s="159" t="s">
        <v>653</v>
      </c>
      <c r="D295" s="25">
        <v>1190000</v>
      </c>
      <c r="E295" s="25">
        <v>383705</v>
      </c>
      <c r="F295" s="25">
        <f t="shared" si="4"/>
        <v>806295</v>
      </c>
      <c r="G295" s="25"/>
    </row>
    <row r="296" spans="1:7">
      <c r="A296" s="159" t="s">
        <v>656</v>
      </c>
      <c r="B296" s="159" t="s">
        <v>631</v>
      </c>
      <c r="C296" s="159" t="s">
        <v>657</v>
      </c>
      <c r="D296" s="25">
        <v>1</v>
      </c>
      <c r="E296" s="25">
        <v>0</v>
      </c>
      <c r="F296" s="25">
        <f t="shared" si="4"/>
        <v>1</v>
      </c>
      <c r="G296" s="25"/>
    </row>
    <row r="297" spans="1:7">
      <c r="A297" s="159" t="s">
        <v>658</v>
      </c>
      <c r="B297" s="159" t="s">
        <v>631</v>
      </c>
      <c r="C297" s="159" t="s">
        <v>657</v>
      </c>
      <c r="D297" s="25">
        <v>4020000</v>
      </c>
      <c r="E297" s="25">
        <v>1296216</v>
      </c>
      <c r="F297" s="25">
        <f t="shared" si="4"/>
        <v>2723784</v>
      </c>
      <c r="G297" s="25"/>
    </row>
    <row r="298" spans="1:7">
      <c r="A298" s="159" t="s">
        <v>659</v>
      </c>
      <c r="B298" s="159" t="s">
        <v>631</v>
      </c>
      <c r="C298" s="159" t="s">
        <v>657</v>
      </c>
      <c r="D298" s="25">
        <v>1</v>
      </c>
      <c r="E298" s="25">
        <v>0</v>
      </c>
      <c r="F298" s="25">
        <f t="shared" si="4"/>
        <v>1</v>
      </c>
      <c r="G298" s="25"/>
    </row>
    <row r="299" spans="1:7">
      <c r="A299" s="159" t="s">
        <v>660</v>
      </c>
      <c r="B299" s="159" t="s">
        <v>631</v>
      </c>
      <c r="C299" s="159" t="s">
        <v>661</v>
      </c>
      <c r="D299" s="25">
        <v>1</v>
      </c>
      <c r="E299" s="25">
        <v>0</v>
      </c>
      <c r="F299" s="25">
        <f t="shared" si="4"/>
        <v>1</v>
      </c>
      <c r="G299" s="25"/>
    </row>
    <row r="300" spans="1:7">
      <c r="A300" s="159" t="s">
        <v>662</v>
      </c>
      <c r="B300" s="159" t="s">
        <v>631</v>
      </c>
      <c r="C300" s="159" t="s">
        <v>661</v>
      </c>
      <c r="D300" s="25">
        <v>1800000</v>
      </c>
      <c r="E300" s="25">
        <v>580395</v>
      </c>
      <c r="F300" s="25">
        <f t="shared" si="4"/>
        <v>1219605</v>
      </c>
      <c r="G300" s="25"/>
    </row>
    <row r="301" spans="1:7">
      <c r="A301" s="159" t="s">
        <v>663</v>
      </c>
      <c r="B301" s="159" t="s">
        <v>631</v>
      </c>
      <c r="C301" s="159" t="s">
        <v>661</v>
      </c>
      <c r="D301" s="25">
        <v>1</v>
      </c>
      <c r="E301" s="25">
        <v>0</v>
      </c>
      <c r="F301" s="25">
        <f t="shared" si="4"/>
        <v>1</v>
      </c>
      <c r="G301" s="25"/>
    </row>
    <row r="302" spans="1:7">
      <c r="A302" s="159" t="s">
        <v>664</v>
      </c>
      <c r="B302" s="159" t="s">
        <v>631</v>
      </c>
      <c r="C302" s="159" t="s">
        <v>665</v>
      </c>
      <c r="D302" s="25">
        <v>130000</v>
      </c>
      <c r="E302" s="25">
        <v>41917</v>
      </c>
      <c r="F302" s="25">
        <f t="shared" si="4"/>
        <v>88083</v>
      </c>
      <c r="G302" s="25"/>
    </row>
    <row r="303" spans="1:7">
      <c r="A303" s="159" t="s">
        <v>666</v>
      </c>
      <c r="B303" s="159" t="s">
        <v>631</v>
      </c>
      <c r="C303" s="159" t="s">
        <v>665</v>
      </c>
      <c r="D303" s="25">
        <v>1</v>
      </c>
      <c r="E303" s="25">
        <v>0</v>
      </c>
      <c r="F303" s="25">
        <f t="shared" si="4"/>
        <v>1</v>
      </c>
      <c r="G303" s="25"/>
    </row>
    <row r="304" spans="1:7">
      <c r="A304" s="159" t="s">
        <v>667</v>
      </c>
      <c r="B304" s="159" t="s">
        <v>631</v>
      </c>
      <c r="C304" s="159" t="s">
        <v>668</v>
      </c>
      <c r="D304" s="25">
        <v>422000</v>
      </c>
      <c r="E304" s="25">
        <v>136070</v>
      </c>
      <c r="F304" s="25">
        <f t="shared" si="4"/>
        <v>285930</v>
      </c>
      <c r="G304" s="25"/>
    </row>
    <row r="305" spans="1:7">
      <c r="A305" s="159" t="s">
        <v>669</v>
      </c>
      <c r="B305" s="159" t="s">
        <v>631</v>
      </c>
      <c r="C305" s="159" t="s">
        <v>668</v>
      </c>
      <c r="D305" s="25">
        <v>1</v>
      </c>
      <c r="E305" s="25">
        <v>0</v>
      </c>
      <c r="F305" s="25">
        <f t="shared" si="4"/>
        <v>1</v>
      </c>
      <c r="G305" s="25"/>
    </row>
    <row r="306" spans="1:7">
      <c r="A306" s="159" t="s">
        <v>670</v>
      </c>
      <c r="B306" s="159" t="s">
        <v>631</v>
      </c>
      <c r="C306" s="159" t="s">
        <v>668</v>
      </c>
      <c r="D306" s="25">
        <v>225000</v>
      </c>
      <c r="E306" s="25">
        <v>72542</v>
      </c>
      <c r="F306" s="25">
        <f t="shared" si="4"/>
        <v>152458</v>
      </c>
      <c r="G306" s="25"/>
    </row>
    <row r="307" spans="1:7">
      <c r="A307" s="159" t="s">
        <v>671</v>
      </c>
      <c r="B307" s="159" t="s">
        <v>631</v>
      </c>
      <c r="C307" s="159" t="s">
        <v>668</v>
      </c>
      <c r="D307" s="25">
        <v>1</v>
      </c>
      <c r="E307" s="25">
        <v>0</v>
      </c>
      <c r="F307" s="25">
        <f t="shared" si="4"/>
        <v>1</v>
      </c>
      <c r="G307" s="25"/>
    </row>
    <row r="308" spans="1:7">
      <c r="A308" s="159" t="s">
        <v>672</v>
      </c>
      <c r="B308" s="159" t="s">
        <v>631</v>
      </c>
      <c r="C308" s="159" t="s">
        <v>673</v>
      </c>
      <c r="D308" s="25">
        <v>1</v>
      </c>
      <c r="E308" s="25">
        <v>0</v>
      </c>
      <c r="F308" s="25">
        <f t="shared" si="4"/>
        <v>1</v>
      </c>
      <c r="G308" s="25"/>
    </row>
    <row r="309" spans="1:7">
      <c r="A309" s="159" t="s">
        <v>674</v>
      </c>
      <c r="B309" s="159" t="s">
        <v>631</v>
      </c>
      <c r="C309" s="159" t="s">
        <v>673</v>
      </c>
      <c r="D309" s="25">
        <v>610000</v>
      </c>
      <c r="E309" s="25">
        <v>196690</v>
      </c>
      <c r="F309" s="25">
        <f t="shared" si="4"/>
        <v>413310</v>
      </c>
      <c r="G309" s="25"/>
    </row>
    <row r="310" spans="1:7">
      <c r="A310" s="159" t="s">
        <v>675</v>
      </c>
      <c r="B310" s="159" t="s">
        <v>631</v>
      </c>
      <c r="C310" s="159" t="s">
        <v>673</v>
      </c>
      <c r="D310" s="25">
        <v>1</v>
      </c>
      <c r="E310" s="25">
        <v>0</v>
      </c>
      <c r="F310" s="25">
        <f t="shared" si="4"/>
        <v>1</v>
      </c>
      <c r="G310" s="25"/>
    </row>
    <row r="311" spans="1:7">
      <c r="A311" s="159" t="s">
        <v>676</v>
      </c>
      <c r="B311" s="159" t="s">
        <v>631</v>
      </c>
      <c r="C311" s="159" t="s">
        <v>677</v>
      </c>
      <c r="D311" s="25">
        <v>80000</v>
      </c>
      <c r="E311" s="25">
        <v>25795</v>
      </c>
      <c r="F311" s="25">
        <f t="shared" si="4"/>
        <v>54205</v>
      </c>
      <c r="G311" s="25"/>
    </row>
    <row r="312" spans="1:7">
      <c r="A312" s="159" t="s">
        <v>678</v>
      </c>
      <c r="B312" s="159" t="s">
        <v>631</v>
      </c>
      <c r="C312" s="159" t="s">
        <v>677</v>
      </c>
      <c r="D312" s="25">
        <v>1</v>
      </c>
      <c r="E312" s="25">
        <v>0</v>
      </c>
      <c r="F312" s="25">
        <f t="shared" si="4"/>
        <v>1</v>
      </c>
      <c r="G312" s="25"/>
    </row>
    <row r="313" spans="1:7">
      <c r="A313" s="159" t="s">
        <v>679</v>
      </c>
      <c r="B313" s="159" t="s">
        <v>631</v>
      </c>
      <c r="C313" s="159" t="s">
        <v>680</v>
      </c>
      <c r="D313" s="25">
        <v>1339000</v>
      </c>
      <c r="E313" s="25">
        <v>431749</v>
      </c>
      <c r="F313" s="25">
        <f t="shared" si="4"/>
        <v>907251</v>
      </c>
      <c r="G313" s="25"/>
    </row>
    <row r="314" spans="1:7">
      <c r="A314" s="159" t="s">
        <v>681</v>
      </c>
      <c r="B314" s="159" t="s">
        <v>631</v>
      </c>
      <c r="C314" s="159" t="s">
        <v>680</v>
      </c>
      <c r="D314" s="25">
        <v>211000</v>
      </c>
      <c r="E314" s="25">
        <v>68043</v>
      </c>
      <c r="F314" s="25">
        <f t="shared" si="4"/>
        <v>142957</v>
      </c>
      <c r="G314" s="25"/>
    </row>
    <row r="315" spans="1:7">
      <c r="A315" s="159" t="s">
        <v>682</v>
      </c>
      <c r="B315" s="159" t="s">
        <v>631</v>
      </c>
      <c r="C315" s="159" t="s">
        <v>680</v>
      </c>
      <c r="D315" s="25">
        <v>510000</v>
      </c>
      <c r="E315" s="25">
        <v>164445</v>
      </c>
      <c r="F315" s="25">
        <f t="shared" si="4"/>
        <v>345555</v>
      </c>
      <c r="G315" s="25"/>
    </row>
    <row r="316" spans="1:7">
      <c r="A316" s="159" t="s">
        <v>683</v>
      </c>
      <c r="B316" s="159" t="s">
        <v>631</v>
      </c>
      <c r="C316" s="159" t="s">
        <v>680</v>
      </c>
      <c r="D316" s="25">
        <v>1</v>
      </c>
      <c r="E316" s="25">
        <v>0</v>
      </c>
      <c r="F316" s="25">
        <f t="shared" si="4"/>
        <v>1</v>
      </c>
      <c r="G316" s="25"/>
    </row>
    <row r="317" spans="1:7">
      <c r="A317" s="159" t="s">
        <v>684</v>
      </c>
      <c r="B317" s="159" t="s">
        <v>631</v>
      </c>
      <c r="C317" s="159" t="s">
        <v>680</v>
      </c>
      <c r="D317" s="25">
        <v>1</v>
      </c>
      <c r="E317" s="25">
        <v>0</v>
      </c>
      <c r="F317" s="25">
        <f t="shared" si="4"/>
        <v>1</v>
      </c>
      <c r="G317" s="25"/>
    </row>
    <row r="318" spans="1:7">
      <c r="A318" s="159" t="s">
        <v>685</v>
      </c>
      <c r="B318" s="159" t="s">
        <v>631</v>
      </c>
      <c r="C318" s="159" t="s">
        <v>686</v>
      </c>
      <c r="D318" s="25">
        <v>1</v>
      </c>
      <c r="E318" s="25">
        <v>0</v>
      </c>
      <c r="F318" s="25">
        <f t="shared" si="4"/>
        <v>1</v>
      </c>
      <c r="G318" s="25"/>
    </row>
    <row r="319" spans="1:7">
      <c r="A319" s="159" t="s">
        <v>687</v>
      </c>
      <c r="B319" s="159" t="s">
        <v>631</v>
      </c>
      <c r="C319" s="159" t="s">
        <v>686</v>
      </c>
      <c r="D319" s="25">
        <v>1008000</v>
      </c>
      <c r="E319" s="25">
        <v>325014</v>
      </c>
      <c r="F319" s="25">
        <f t="shared" si="4"/>
        <v>682986</v>
      </c>
      <c r="G319" s="25"/>
    </row>
    <row r="320" spans="1:7">
      <c r="A320" s="159" t="s">
        <v>688</v>
      </c>
      <c r="B320" s="159" t="s">
        <v>631</v>
      </c>
      <c r="C320" s="159" t="s">
        <v>686</v>
      </c>
      <c r="D320" s="25">
        <v>1</v>
      </c>
      <c r="E320" s="25">
        <v>0</v>
      </c>
      <c r="F320" s="25">
        <f t="shared" si="4"/>
        <v>1</v>
      </c>
      <c r="G320" s="25"/>
    </row>
    <row r="321" spans="1:7">
      <c r="A321" s="159" t="s">
        <v>689</v>
      </c>
      <c r="B321" s="159" t="s">
        <v>631</v>
      </c>
      <c r="C321" s="159" t="s">
        <v>690</v>
      </c>
      <c r="D321" s="25">
        <v>37000</v>
      </c>
      <c r="E321" s="25">
        <v>11938</v>
      </c>
      <c r="F321" s="25">
        <f t="shared" si="4"/>
        <v>25062</v>
      </c>
      <c r="G321" s="25"/>
    </row>
    <row r="322" spans="1:7">
      <c r="A322" s="159" t="s">
        <v>691</v>
      </c>
      <c r="B322" s="159" t="s">
        <v>631</v>
      </c>
      <c r="C322" s="159" t="s">
        <v>692</v>
      </c>
      <c r="D322" s="25">
        <v>471000</v>
      </c>
      <c r="E322" s="25">
        <v>151877</v>
      </c>
      <c r="F322" s="25">
        <f t="shared" si="4"/>
        <v>319123</v>
      </c>
      <c r="G322" s="25"/>
    </row>
    <row r="323" spans="1:7">
      <c r="A323" s="159" t="s">
        <v>693</v>
      </c>
      <c r="B323" s="159" t="s">
        <v>631</v>
      </c>
      <c r="C323" s="159" t="s">
        <v>692</v>
      </c>
      <c r="D323" s="25">
        <v>12076096</v>
      </c>
      <c r="E323" s="25">
        <v>2986633</v>
      </c>
      <c r="F323" s="25">
        <f t="shared" si="4"/>
        <v>9089463</v>
      </c>
      <c r="G323" s="25"/>
    </row>
    <row r="324" spans="1:7">
      <c r="A324" s="159" t="s">
        <v>694</v>
      </c>
      <c r="B324" s="159" t="s">
        <v>631</v>
      </c>
      <c r="C324" s="159" t="s">
        <v>692</v>
      </c>
      <c r="D324" s="25">
        <v>1850000</v>
      </c>
      <c r="E324" s="25">
        <v>596517</v>
      </c>
      <c r="F324" s="25">
        <f t="shared" ref="F324:F387" si="5">D324-E324</f>
        <v>1253483</v>
      </c>
      <c r="G324" s="25"/>
    </row>
    <row r="325" spans="1:7">
      <c r="A325" s="159" t="s">
        <v>695</v>
      </c>
      <c r="B325" s="159" t="s">
        <v>631</v>
      </c>
      <c r="C325" s="159" t="s">
        <v>703</v>
      </c>
      <c r="D325" s="25">
        <v>1</v>
      </c>
      <c r="E325" s="25">
        <v>0</v>
      </c>
      <c r="F325" s="25">
        <f t="shared" si="5"/>
        <v>1</v>
      </c>
      <c r="G325" s="25"/>
    </row>
    <row r="326" spans="1:7">
      <c r="A326" s="159" t="s">
        <v>704</v>
      </c>
      <c r="B326" s="159" t="s">
        <v>631</v>
      </c>
      <c r="C326" s="159" t="s">
        <v>703</v>
      </c>
      <c r="D326" s="25">
        <v>1</v>
      </c>
      <c r="E326" s="25">
        <v>0</v>
      </c>
      <c r="F326" s="25">
        <f t="shared" si="5"/>
        <v>1</v>
      </c>
      <c r="G326" s="25"/>
    </row>
    <row r="327" spans="1:7">
      <c r="A327" s="159" t="s">
        <v>705</v>
      </c>
      <c r="B327" s="159" t="s">
        <v>631</v>
      </c>
      <c r="C327" s="159" t="s">
        <v>703</v>
      </c>
      <c r="D327" s="25">
        <v>2966472</v>
      </c>
      <c r="E327" s="25">
        <v>784635</v>
      </c>
      <c r="F327" s="25">
        <f t="shared" si="5"/>
        <v>2181837</v>
      </c>
      <c r="G327" s="25"/>
    </row>
    <row r="328" spans="1:7">
      <c r="A328" s="159" t="s">
        <v>706</v>
      </c>
      <c r="B328" s="159" t="s">
        <v>631</v>
      </c>
      <c r="C328" s="159" t="s">
        <v>703</v>
      </c>
      <c r="D328" s="25">
        <v>3720000</v>
      </c>
      <c r="E328" s="25">
        <v>1199483</v>
      </c>
      <c r="F328" s="25">
        <f t="shared" si="5"/>
        <v>2520517</v>
      </c>
      <c r="G328" s="25"/>
    </row>
    <row r="329" spans="1:7">
      <c r="A329" s="159" t="s">
        <v>707</v>
      </c>
      <c r="B329" s="159" t="s">
        <v>631</v>
      </c>
      <c r="C329" s="159" t="s">
        <v>708</v>
      </c>
      <c r="D329" s="25">
        <v>7244280</v>
      </c>
      <c r="E329" s="25">
        <v>1943810</v>
      </c>
      <c r="F329" s="25">
        <f t="shared" si="5"/>
        <v>5300470</v>
      </c>
      <c r="G329" s="25"/>
    </row>
    <row r="330" spans="1:7">
      <c r="A330" s="159" t="s">
        <v>709</v>
      </c>
      <c r="B330" s="159" t="s">
        <v>631</v>
      </c>
      <c r="C330" s="159" t="s">
        <v>708</v>
      </c>
      <c r="D330" s="25">
        <v>1</v>
      </c>
      <c r="E330" s="25">
        <v>0</v>
      </c>
      <c r="F330" s="25">
        <f t="shared" si="5"/>
        <v>1</v>
      </c>
      <c r="G330" s="25"/>
    </row>
    <row r="331" spans="1:7">
      <c r="A331" s="159" t="s">
        <v>710</v>
      </c>
      <c r="B331" s="159" t="s">
        <v>631</v>
      </c>
      <c r="C331" s="159" t="s">
        <v>711</v>
      </c>
      <c r="D331" s="25">
        <v>1</v>
      </c>
      <c r="E331" s="25">
        <v>0</v>
      </c>
      <c r="F331" s="25">
        <f t="shared" si="5"/>
        <v>1</v>
      </c>
      <c r="G331" s="25"/>
    </row>
    <row r="332" spans="1:7">
      <c r="A332" s="159" t="s">
        <v>712</v>
      </c>
      <c r="B332" s="159" t="s">
        <v>631</v>
      </c>
      <c r="C332" s="159" t="s">
        <v>711</v>
      </c>
      <c r="D332" s="25">
        <v>540000</v>
      </c>
      <c r="E332" s="25">
        <v>174118</v>
      </c>
      <c r="F332" s="25">
        <f t="shared" si="5"/>
        <v>365882</v>
      </c>
      <c r="G332" s="25"/>
    </row>
    <row r="333" spans="1:7">
      <c r="A333" s="159" t="s">
        <v>713</v>
      </c>
      <c r="B333" s="159" t="s">
        <v>631</v>
      </c>
      <c r="C333" s="159" t="s">
        <v>711</v>
      </c>
      <c r="D333" s="25">
        <v>1</v>
      </c>
      <c r="E333" s="25">
        <v>0</v>
      </c>
      <c r="F333" s="25">
        <f t="shared" si="5"/>
        <v>1</v>
      </c>
      <c r="G333" s="25"/>
    </row>
    <row r="334" spans="1:7">
      <c r="A334" s="159" t="s">
        <v>714</v>
      </c>
      <c r="B334" s="159" t="s">
        <v>631</v>
      </c>
      <c r="C334" s="159" t="s">
        <v>715</v>
      </c>
      <c r="D334" s="25">
        <v>1</v>
      </c>
      <c r="E334" s="25">
        <v>0</v>
      </c>
      <c r="F334" s="25">
        <f t="shared" si="5"/>
        <v>1</v>
      </c>
      <c r="G334" s="25"/>
    </row>
    <row r="335" spans="1:7">
      <c r="A335" s="159" t="s">
        <v>716</v>
      </c>
      <c r="B335" s="159" t="s">
        <v>631</v>
      </c>
      <c r="C335" s="159" t="s">
        <v>715</v>
      </c>
      <c r="D335" s="25">
        <v>1332000</v>
      </c>
      <c r="E335" s="25">
        <v>429492</v>
      </c>
      <c r="F335" s="25">
        <f t="shared" si="5"/>
        <v>902508</v>
      </c>
      <c r="G335" s="25"/>
    </row>
    <row r="336" spans="1:7">
      <c r="A336" s="159" t="s">
        <v>717</v>
      </c>
      <c r="B336" s="159" t="s">
        <v>631</v>
      </c>
      <c r="C336" s="159" t="s">
        <v>715</v>
      </c>
      <c r="D336" s="25">
        <v>1</v>
      </c>
      <c r="E336" s="25">
        <v>0</v>
      </c>
      <c r="F336" s="25">
        <f t="shared" si="5"/>
        <v>1</v>
      </c>
      <c r="G336" s="25"/>
    </row>
    <row r="337" spans="1:7">
      <c r="A337" s="159" t="s">
        <v>718</v>
      </c>
      <c r="B337" s="159" t="s">
        <v>631</v>
      </c>
      <c r="C337" s="159" t="s">
        <v>715</v>
      </c>
      <c r="D337" s="25">
        <v>2766000</v>
      </c>
      <c r="E337" s="25">
        <v>891881</v>
      </c>
      <c r="F337" s="25">
        <f t="shared" si="5"/>
        <v>1874119</v>
      </c>
      <c r="G337" s="25"/>
    </row>
    <row r="338" spans="1:7">
      <c r="A338" s="159" t="s">
        <v>719</v>
      </c>
      <c r="B338" s="159" t="s">
        <v>631</v>
      </c>
      <c r="C338" s="159" t="s">
        <v>715</v>
      </c>
      <c r="D338" s="25">
        <v>1</v>
      </c>
      <c r="E338" s="25">
        <v>0</v>
      </c>
      <c r="F338" s="25">
        <f t="shared" si="5"/>
        <v>1</v>
      </c>
      <c r="G338" s="25"/>
    </row>
    <row r="339" spans="1:7">
      <c r="A339" s="159" t="s">
        <v>720</v>
      </c>
      <c r="B339" s="159" t="s">
        <v>631</v>
      </c>
      <c r="C339" s="159" t="s">
        <v>715</v>
      </c>
      <c r="D339" s="25">
        <v>5284000</v>
      </c>
      <c r="E339" s="25">
        <v>1519500</v>
      </c>
      <c r="F339" s="25">
        <f t="shared" si="5"/>
        <v>3764500</v>
      </c>
      <c r="G339" s="25"/>
    </row>
    <row r="340" spans="1:7">
      <c r="A340" s="159" t="s">
        <v>721</v>
      </c>
      <c r="B340" s="159" t="s">
        <v>631</v>
      </c>
      <c r="C340" s="159" t="s">
        <v>715</v>
      </c>
      <c r="D340" s="25">
        <v>294500</v>
      </c>
      <c r="E340" s="25">
        <v>77315</v>
      </c>
      <c r="F340" s="25">
        <f t="shared" si="5"/>
        <v>217185</v>
      </c>
      <c r="G340" s="25"/>
    </row>
    <row r="341" spans="1:7">
      <c r="A341" s="159" t="s">
        <v>722</v>
      </c>
      <c r="B341" s="159" t="s">
        <v>631</v>
      </c>
      <c r="C341" s="159" t="s">
        <v>715</v>
      </c>
      <c r="D341" s="25">
        <v>1</v>
      </c>
      <c r="E341" s="25">
        <v>0</v>
      </c>
      <c r="F341" s="25">
        <f t="shared" si="5"/>
        <v>1</v>
      </c>
      <c r="G341" s="25"/>
    </row>
    <row r="342" spans="1:7">
      <c r="A342" s="159" t="s">
        <v>723</v>
      </c>
      <c r="B342" s="159" t="s">
        <v>631</v>
      </c>
      <c r="C342" s="159" t="s">
        <v>715</v>
      </c>
      <c r="D342" s="25">
        <v>11820000</v>
      </c>
      <c r="E342" s="25">
        <v>3811268</v>
      </c>
      <c r="F342" s="25">
        <f t="shared" si="5"/>
        <v>8008732</v>
      </c>
      <c r="G342" s="25"/>
    </row>
    <row r="343" spans="1:7">
      <c r="A343" s="159" t="s">
        <v>724</v>
      </c>
      <c r="B343" s="159" t="s">
        <v>631</v>
      </c>
      <c r="C343" s="159" t="s">
        <v>715</v>
      </c>
      <c r="D343" s="25">
        <v>150000</v>
      </c>
      <c r="E343" s="25">
        <v>48366</v>
      </c>
      <c r="F343" s="25">
        <f t="shared" si="5"/>
        <v>101634</v>
      </c>
      <c r="G343" s="25"/>
    </row>
    <row r="344" spans="1:7">
      <c r="A344" s="159" t="s">
        <v>725</v>
      </c>
      <c r="B344" s="159" t="s">
        <v>631</v>
      </c>
      <c r="C344" s="159" t="s">
        <v>726</v>
      </c>
      <c r="D344" s="25">
        <v>1</v>
      </c>
      <c r="E344" s="25">
        <v>0</v>
      </c>
      <c r="F344" s="25">
        <f t="shared" si="5"/>
        <v>1</v>
      </c>
      <c r="G344" s="25"/>
    </row>
    <row r="345" spans="1:7">
      <c r="A345" s="159" t="s">
        <v>727</v>
      </c>
      <c r="B345" s="159" t="s">
        <v>631</v>
      </c>
      <c r="C345" s="159" t="s">
        <v>726</v>
      </c>
      <c r="D345" s="25">
        <v>210000</v>
      </c>
      <c r="E345" s="25">
        <v>67713</v>
      </c>
      <c r="F345" s="25">
        <f t="shared" si="5"/>
        <v>142287</v>
      </c>
      <c r="G345" s="25"/>
    </row>
    <row r="346" spans="1:7">
      <c r="A346" s="159" t="s">
        <v>728</v>
      </c>
      <c r="B346" s="159" t="s">
        <v>631</v>
      </c>
      <c r="C346" s="159" t="s">
        <v>726</v>
      </c>
      <c r="D346" s="25">
        <v>1</v>
      </c>
      <c r="E346" s="25">
        <v>0</v>
      </c>
      <c r="F346" s="25">
        <f t="shared" si="5"/>
        <v>1</v>
      </c>
      <c r="G346" s="25"/>
    </row>
    <row r="347" spans="1:7">
      <c r="A347" s="159" t="s">
        <v>729</v>
      </c>
      <c r="B347" s="159" t="s">
        <v>631</v>
      </c>
      <c r="C347" s="159" t="s">
        <v>730</v>
      </c>
      <c r="D347" s="25">
        <v>1</v>
      </c>
      <c r="E347" s="25">
        <v>0</v>
      </c>
      <c r="F347" s="25">
        <f t="shared" si="5"/>
        <v>1</v>
      </c>
      <c r="G347" s="25"/>
    </row>
    <row r="348" spans="1:7">
      <c r="A348" s="159" t="s">
        <v>731</v>
      </c>
      <c r="B348" s="159" t="s">
        <v>631</v>
      </c>
      <c r="C348" s="159" t="s">
        <v>730</v>
      </c>
      <c r="D348" s="25">
        <v>2750000</v>
      </c>
      <c r="E348" s="25">
        <v>886715</v>
      </c>
      <c r="F348" s="25">
        <f t="shared" si="5"/>
        <v>1863285</v>
      </c>
      <c r="G348" s="25"/>
    </row>
    <row r="349" spans="1:7">
      <c r="A349" s="159" t="s">
        <v>732</v>
      </c>
      <c r="B349" s="159" t="s">
        <v>631</v>
      </c>
      <c r="C349" s="159" t="s">
        <v>730</v>
      </c>
      <c r="D349" s="25">
        <v>1</v>
      </c>
      <c r="E349" s="25">
        <v>0</v>
      </c>
      <c r="F349" s="25">
        <f t="shared" si="5"/>
        <v>1</v>
      </c>
      <c r="G349" s="25"/>
    </row>
    <row r="350" spans="1:7">
      <c r="A350" s="159" t="s">
        <v>733</v>
      </c>
      <c r="B350" s="159" t="s">
        <v>631</v>
      </c>
      <c r="C350" s="159" t="s">
        <v>734</v>
      </c>
      <c r="D350" s="25">
        <v>1</v>
      </c>
      <c r="E350" s="25">
        <v>0</v>
      </c>
      <c r="F350" s="25">
        <f t="shared" si="5"/>
        <v>1</v>
      </c>
      <c r="G350" s="25"/>
    </row>
    <row r="351" spans="1:7">
      <c r="A351" s="159" t="s">
        <v>735</v>
      </c>
      <c r="B351" s="159" t="s">
        <v>631</v>
      </c>
      <c r="C351" s="159" t="s">
        <v>734</v>
      </c>
      <c r="D351" s="25">
        <v>780000</v>
      </c>
      <c r="E351" s="25">
        <v>251504</v>
      </c>
      <c r="F351" s="25">
        <f t="shared" si="5"/>
        <v>528496</v>
      </c>
      <c r="G351" s="25"/>
    </row>
    <row r="352" spans="1:7">
      <c r="A352" s="159" t="s">
        <v>736</v>
      </c>
      <c r="B352" s="159" t="s">
        <v>631</v>
      </c>
      <c r="C352" s="159" t="s">
        <v>734</v>
      </c>
      <c r="D352" s="25">
        <v>1</v>
      </c>
      <c r="E352" s="25">
        <v>0</v>
      </c>
      <c r="F352" s="25">
        <f t="shared" si="5"/>
        <v>1</v>
      </c>
      <c r="G352" s="25"/>
    </row>
    <row r="353" spans="1:7">
      <c r="A353" s="159" t="s">
        <v>737</v>
      </c>
      <c r="B353" s="159" t="s">
        <v>631</v>
      </c>
      <c r="C353" s="159" t="s">
        <v>738</v>
      </c>
      <c r="D353" s="25">
        <v>32000</v>
      </c>
      <c r="E353" s="25">
        <v>10318</v>
      </c>
      <c r="F353" s="25">
        <f t="shared" si="5"/>
        <v>21682</v>
      </c>
      <c r="G353" s="25"/>
    </row>
    <row r="354" spans="1:7">
      <c r="A354" s="159" t="s">
        <v>739</v>
      </c>
      <c r="B354" s="159" t="s">
        <v>631</v>
      </c>
      <c r="C354" s="159" t="s">
        <v>740</v>
      </c>
      <c r="D354" s="25">
        <v>1</v>
      </c>
      <c r="E354" s="25">
        <v>0</v>
      </c>
      <c r="F354" s="25">
        <f t="shared" si="5"/>
        <v>1</v>
      </c>
      <c r="G354" s="25"/>
    </row>
    <row r="355" spans="1:7">
      <c r="A355" s="159" t="s">
        <v>741</v>
      </c>
      <c r="B355" s="159" t="s">
        <v>631</v>
      </c>
      <c r="C355" s="159" t="s">
        <v>740</v>
      </c>
      <c r="D355" s="25">
        <v>1150000</v>
      </c>
      <c r="E355" s="25">
        <v>370808</v>
      </c>
      <c r="F355" s="25">
        <f t="shared" si="5"/>
        <v>779192</v>
      </c>
      <c r="G355" s="25"/>
    </row>
    <row r="356" spans="1:7">
      <c r="A356" s="159" t="s">
        <v>742</v>
      </c>
      <c r="B356" s="159" t="s">
        <v>631</v>
      </c>
      <c r="C356" s="159" t="s">
        <v>740</v>
      </c>
      <c r="D356" s="25">
        <v>3289708</v>
      </c>
      <c r="E356" s="25">
        <v>250174</v>
      </c>
      <c r="F356" s="25">
        <f t="shared" si="5"/>
        <v>3039534</v>
      </c>
      <c r="G356" s="25"/>
    </row>
    <row r="357" spans="1:7">
      <c r="A357" s="159" t="s">
        <v>743</v>
      </c>
      <c r="B357" s="159" t="s">
        <v>631</v>
      </c>
      <c r="C357" s="159" t="s">
        <v>744</v>
      </c>
      <c r="D357" s="25">
        <v>74000</v>
      </c>
      <c r="E357" s="25">
        <v>23861</v>
      </c>
      <c r="F357" s="25">
        <f t="shared" si="5"/>
        <v>50139</v>
      </c>
      <c r="G357" s="25"/>
    </row>
    <row r="358" spans="1:7">
      <c r="A358" s="159" t="s">
        <v>745</v>
      </c>
      <c r="B358" s="159" t="s">
        <v>631</v>
      </c>
      <c r="C358" s="159" t="s">
        <v>746</v>
      </c>
      <c r="D358" s="25">
        <v>1</v>
      </c>
      <c r="E358" s="25">
        <v>0</v>
      </c>
      <c r="F358" s="25">
        <f t="shared" si="5"/>
        <v>1</v>
      </c>
      <c r="G358" s="25"/>
    </row>
    <row r="359" spans="1:7">
      <c r="A359" s="159" t="s">
        <v>747</v>
      </c>
      <c r="B359" s="159" t="s">
        <v>631</v>
      </c>
      <c r="C359" s="159" t="s">
        <v>746</v>
      </c>
      <c r="D359" s="25">
        <v>360000</v>
      </c>
      <c r="E359" s="25">
        <v>116079</v>
      </c>
      <c r="F359" s="25">
        <f t="shared" si="5"/>
        <v>243921</v>
      </c>
      <c r="G359" s="25"/>
    </row>
    <row r="360" spans="1:7">
      <c r="A360" s="159" t="s">
        <v>748</v>
      </c>
      <c r="B360" s="159" t="s">
        <v>631</v>
      </c>
      <c r="C360" s="159" t="s">
        <v>749</v>
      </c>
      <c r="D360" s="25">
        <v>527000</v>
      </c>
      <c r="E360" s="25">
        <v>169927</v>
      </c>
      <c r="F360" s="25">
        <f t="shared" si="5"/>
        <v>357073</v>
      </c>
      <c r="G360" s="25"/>
    </row>
    <row r="361" spans="1:7">
      <c r="A361" s="159" t="s">
        <v>750</v>
      </c>
      <c r="B361" s="159" t="s">
        <v>631</v>
      </c>
      <c r="C361" s="159" t="s">
        <v>751</v>
      </c>
      <c r="D361" s="25">
        <v>145000</v>
      </c>
      <c r="E361" s="25">
        <v>46754</v>
      </c>
      <c r="F361" s="25">
        <f t="shared" si="5"/>
        <v>98246</v>
      </c>
      <c r="G361" s="25"/>
    </row>
    <row r="362" spans="1:7">
      <c r="A362" s="159" t="s">
        <v>752</v>
      </c>
      <c r="B362" s="159" t="s">
        <v>631</v>
      </c>
      <c r="C362" s="159" t="s">
        <v>753</v>
      </c>
      <c r="D362" s="25">
        <v>906000</v>
      </c>
      <c r="E362" s="25">
        <v>292132</v>
      </c>
      <c r="F362" s="25">
        <f t="shared" si="5"/>
        <v>613868</v>
      </c>
      <c r="G362" s="25"/>
    </row>
    <row r="363" spans="1:7">
      <c r="A363" s="159" t="s">
        <v>754</v>
      </c>
      <c r="B363" s="159" t="s">
        <v>631</v>
      </c>
      <c r="C363" s="159" t="s">
        <v>753</v>
      </c>
      <c r="D363" s="25">
        <v>1</v>
      </c>
      <c r="E363" s="25">
        <v>0</v>
      </c>
      <c r="F363" s="25">
        <f t="shared" si="5"/>
        <v>1</v>
      </c>
      <c r="G363" s="25"/>
    </row>
    <row r="364" spans="1:7">
      <c r="A364" s="159" t="s">
        <v>755</v>
      </c>
      <c r="B364" s="159" t="s">
        <v>631</v>
      </c>
      <c r="C364" s="159" t="s">
        <v>756</v>
      </c>
      <c r="D364" s="25">
        <v>253000</v>
      </c>
      <c r="E364" s="25">
        <v>81578</v>
      </c>
      <c r="F364" s="25">
        <f t="shared" si="5"/>
        <v>171422</v>
      </c>
      <c r="G364" s="25"/>
    </row>
    <row r="365" spans="1:7">
      <c r="A365" s="159" t="s">
        <v>757</v>
      </c>
      <c r="B365" s="159" t="s">
        <v>631</v>
      </c>
      <c r="C365" s="159" t="s">
        <v>756</v>
      </c>
      <c r="D365" s="25">
        <v>1</v>
      </c>
      <c r="E365" s="25">
        <v>0</v>
      </c>
      <c r="F365" s="25">
        <f t="shared" si="5"/>
        <v>1</v>
      </c>
      <c r="G365" s="25"/>
    </row>
    <row r="366" spans="1:7">
      <c r="A366" s="159" t="s">
        <v>758</v>
      </c>
      <c r="B366" s="159" t="s">
        <v>631</v>
      </c>
      <c r="C366" s="159" t="s">
        <v>759</v>
      </c>
      <c r="D366" s="25">
        <v>1</v>
      </c>
      <c r="E366" s="25">
        <v>0</v>
      </c>
      <c r="F366" s="25">
        <f t="shared" si="5"/>
        <v>1</v>
      </c>
      <c r="G366" s="25"/>
    </row>
    <row r="367" spans="1:7">
      <c r="A367" s="159" t="s">
        <v>760</v>
      </c>
      <c r="B367" s="159" t="s">
        <v>631</v>
      </c>
      <c r="C367" s="159" t="s">
        <v>759</v>
      </c>
      <c r="D367" s="25">
        <v>800000</v>
      </c>
      <c r="E367" s="25">
        <v>257953</v>
      </c>
      <c r="F367" s="25">
        <f t="shared" si="5"/>
        <v>542047</v>
      </c>
      <c r="G367" s="25"/>
    </row>
    <row r="368" spans="1:7">
      <c r="A368" s="159" t="s">
        <v>761</v>
      </c>
      <c r="B368" s="159" t="s">
        <v>631</v>
      </c>
      <c r="C368" s="159" t="s">
        <v>759</v>
      </c>
      <c r="D368" s="25">
        <v>1</v>
      </c>
      <c r="E368" s="25">
        <v>0</v>
      </c>
      <c r="F368" s="25">
        <f t="shared" si="5"/>
        <v>1</v>
      </c>
      <c r="G368" s="25"/>
    </row>
    <row r="369" spans="1:7">
      <c r="A369" s="159" t="s">
        <v>762</v>
      </c>
      <c r="B369" s="159" t="s">
        <v>631</v>
      </c>
      <c r="C369" s="159" t="s">
        <v>763</v>
      </c>
      <c r="D369" s="25">
        <v>1</v>
      </c>
      <c r="E369" s="25">
        <v>0</v>
      </c>
      <c r="F369" s="25">
        <f t="shared" si="5"/>
        <v>1</v>
      </c>
      <c r="G369" s="25"/>
    </row>
    <row r="370" spans="1:7">
      <c r="A370" s="159" t="s">
        <v>764</v>
      </c>
      <c r="B370" s="159" t="s">
        <v>631</v>
      </c>
      <c r="C370" s="159" t="s">
        <v>763</v>
      </c>
      <c r="D370" s="25">
        <v>3000000</v>
      </c>
      <c r="E370" s="25">
        <v>967325</v>
      </c>
      <c r="F370" s="25">
        <f t="shared" si="5"/>
        <v>2032675</v>
      </c>
      <c r="G370" s="25"/>
    </row>
    <row r="371" spans="1:7">
      <c r="A371" s="159" t="s">
        <v>765</v>
      </c>
      <c r="B371" s="159" t="s">
        <v>631</v>
      </c>
      <c r="C371" s="159" t="s">
        <v>766</v>
      </c>
      <c r="D371" s="25">
        <v>1</v>
      </c>
      <c r="E371" s="25">
        <v>0</v>
      </c>
      <c r="F371" s="25">
        <f t="shared" si="5"/>
        <v>1</v>
      </c>
      <c r="G371" s="25"/>
    </row>
    <row r="372" spans="1:7">
      <c r="A372" s="159" t="s">
        <v>767</v>
      </c>
      <c r="B372" s="159" t="s">
        <v>631</v>
      </c>
      <c r="C372" s="159" t="s">
        <v>766</v>
      </c>
      <c r="D372" s="25">
        <v>785000</v>
      </c>
      <c r="E372" s="25">
        <v>253117</v>
      </c>
      <c r="F372" s="25">
        <f t="shared" si="5"/>
        <v>531883</v>
      </c>
      <c r="G372" s="25"/>
    </row>
    <row r="373" spans="1:7">
      <c r="A373" s="159" t="s">
        <v>768</v>
      </c>
      <c r="B373" s="159" t="s">
        <v>631</v>
      </c>
      <c r="C373" s="159" t="s">
        <v>766</v>
      </c>
      <c r="D373" s="25">
        <v>1</v>
      </c>
      <c r="E373" s="25">
        <v>0</v>
      </c>
      <c r="F373" s="25">
        <f t="shared" si="5"/>
        <v>1</v>
      </c>
      <c r="G373" s="25"/>
    </row>
    <row r="374" spans="1:7">
      <c r="A374" s="159" t="s">
        <v>769</v>
      </c>
      <c r="B374" s="159" t="s">
        <v>631</v>
      </c>
      <c r="C374" s="159" t="s">
        <v>770</v>
      </c>
      <c r="D374" s="25">
        <v>1</v>
      </c>
      <c r="E374" s="25">
        <v>0</v>
      </c>
      <c r="F374" s="25">
        <f t="shared" si="5"/>
        <v>1</v>
      </c>
      <c r="G374" s="25"/>
    </row>
    <row r="375" spans="1:7">
      <c r="A375" s="159" t="s">
        <v>771</v>
      </c>
      <c r="B375" s="159" t="s">
        <v>631</v>
      </c>
      <c r="C375" s="159" t="s">
        <v>770</v>
      </c>
      <c r="D375" s="25">
        <v>3300000</v>
      </c>
      <c r="E375" s="25">
        <v>1064050</v>
      </c>
      <c r="F375" s="25">
        <f t="shared" si="5"/>
        <v>2235950</v>
      </c>
      <c r="G375" s="25"/>
    </row>
    <row r="376" spans="1:7">
      <c r="A376" s="159" t="s">
        <v>772</v>
      </c>
      <c r="B376" s="159" t="s">
        <v>631</v>
      </c>
      <c r="C376" s="159" t="s">
        <v>770</v>
      </c>
      <c r="D376" s="25">
        <v>1</v>
      </c>
      <c r="E376" s="25">
        <v>0</v>
      </c>
      <c r="F376" s="25">
        <f t="shared" si="5"/>
        <v>1</v>
      </c>
      <c r="G376" s="25"/>
    </row>
    <row r="377" spans="1:7">
      <c r="A377" s="159" t="s">
        <v>773</v>
      </c>
      <c r="B377" s="159" t="s">
        <v>631</v>
      </c>
      <c r="C377" s="159" t="s">
        <v>774</v>
      </c>
      <c r="D377" s="25">
        <v>1</v>
      </c>
      <c r="E377" s="25">
        <v>0</v>
      </c>
      <c r="F377" s="25">
        <f t="shared" si="5"/>
        <v>1</v>
      </c>
      <c r="G377" s="25"/>
    </row>
    <row r="378" spans="1:7">
      <c r="A378" s="159" t="s">
        <v>775</v>
      </c>
      <c r="B378" s="159" t="s">
        <v>631</v>
      </c>
      <c r="C378" s="159" t="s">
        <v>776</v>
      </c>
      <c r="D378" s="25">
        <v>400000</v>
      </c>
      <c r="E378" s="25">
        <v>128984</v>
      </c>
      <c r="F378" s="25">
        <f t="shared" si="5"/>
        <v>271016</v>
      </c>
      <c r="G378" s="25"/>
    </row>
    <row r="379" spans="1:7">
      <c r="A379" s="159" t="s">
        <v>777</v>
      </c>
      <c r="B379" s="159" t="s">
        <v>631</v>
      </c>
      <c r="C379" s="159" t="s">
        <v>776</v>
      </c>
      <c r="D379" s="25">
        <v>1</v>
      </c>
      <c r="E379" s="25">
        <v>0</v>
      </c>
      <c r="F379" s="25">
        <f t="shared" si="5"/>
        <v>1</v>
      </c>
      <c r="G379" s="25"/>
    </row>
    <row r="380" spans="1:7">
      <c r="A380" s="159" t="s">
        <v>778</v>
      </c>
      <c r="B380" s="159" t="s">
        <v>631</v>
      </c>
      <c r="C380" s="159" t="s">
        <v>779</v>
      </c>
      <c r="D380" s="25">
        <v>370000</v>
      </c>
      <c r="E380" s="25">
        <v>119304</v>
      </c>
      <c r="F380" s="25">
        <f t="shared" si="5"/>
        <v>250696</v>
      </c>
      <c r="G380" s="25"/>
    </row>
    <row r="381" spans="1:7">
      <c r="A381" s="159" t="s">
        <v>780</v>
      </c>
      <c r="B381" s="159" t="s">
        <v>631</v>
      </c>
      <c r="C381" s="159" t="s">
        <v>779</v>
      </c>
      <c r="D381" s="25">
        <v>1</v>
      </c>
      <c r="E381" s="25">
        <v>0</v>
      </c>
      <c r="F381" s="25">
        <f t="shared" si="5"/>
        <v>1</v>
      </c>
      <c r="G381" s="25"/>
    </row>
    <row r="382" spans="1:7">
      <c r="A382" s="159" t="s">
        <v>781</v>
      </c>
      <c r="B382" s="159" t="s">
        <v>631</v>
      </c>
      <c r="C382" s="159" t="s">
        <v>779</v>
      </c>
      <c r="D382" s="25">
        <v>1</v>
      </c>
      <c r="E382" s="25">
        <v>0</v>
      </c>
      <c r="F382" s="25">
        <f t="shared" si="5"/>
        <v>1</v>
      </c>
      <c r="G382" s="25"/>
    </row>
    <row r="383" spans="1:7">
      <c r="A383" s="159" t="s">
        <v>782</v>
      </c>
      <c r="B383" s="159" t="s">
        <v>631</v>
      </c>
      <c r="C383" s="159" t="s">
        <v>783</v>
      </c>
      <c r="D383" s="25">
        <v>1</v>
      </c>
      <c r="E383" s="25">
        <v>0</v>
      </c>
      <c r="F383" s="25">
        <f t="shared" si="5"/>
        <v>1</v>
      </c>
      <c r="G383" s="25"/>
    </row>
    <row r="384" spans="1:7">
      <c r="A384" s="159" t="s">
        <v>784</v>
      </c>
      <c r="B384" s="159" t="s">
        <v>631</v>
      </c>
      <c r="C384" s="159" t="s">
        <v>783</v>
      </c>
      <c r="D384" s="25">
        <v>435000</v>
      </c>
      <c r="E384" s="25">
        <v>140262</v>
      </c>
      <c r="F384" s="25">
        <f t="shared" si="5"/>
        <v>294738</v>
      </c>
      <c r="G384" s="25"/>
    </row>
    <row r="385" spans="1:7">
      <c r="A385" s="159" t="s">
        <v>785</v>
      </c>
      <c r="B385" s="159" t="s">
        <v>631</v>
      </c>
      <c r="C385" s="159" t="s">
        <v>783</v>
      </c>
      <c r="D385" s="25">
        <v>1</v>
      </c>
      <c r="E385" s="25">
        <v>0</v>
      </c>
      <c r="F385" s="25">
        <f t="shared" si="5"/>
        <v>1</v>
      </c>
      <c r="G385" s="25"/>
    </row>
    <row r="386" spans="1:7">
      <c r="A386" s="159" t="s">
        <v>786</v>
      </c>
      <c r="B386" s="159" t="s">
        <v>631</v>
      </c>
      <c r="C386" s="159" t="s">
        <v>787</v>
      </c>
      <c r="D386" s="25">
        <v>422000</v>
      </c>
      <c r="E386" s="25">
        <v>136070</v>
      </c>
      <c r="F386" s="25">
        <f t="shared" si="5"/>
        <v>285930</v>
      </c>
      <c r="G386" s="25"/>
    </row>
    <row r="387" spans="1:7">
      <c r="A387" s="159" t="s">
        <v>788</v>
      </c>
      <c r="B387" s="159" t="s">
        <v>631</v>
      </c>
      <c r="C387" s="159" t="s">
        <v>787</v>
      </c>
      <c r="D387" s="25">
        <v>1</v>
      </c>
      <c r="E387" s="25">
        <v>0</v>
      </c>
      <c r="F387" s="25">
        <f t="shared" si="5"/>
        <v>1</v>
      </c>
      <c r="G387" s="25"/>
    </row>
    <row r="388" spans="1:7">
      <c r="A388" s="159" t="s">
        <v>789</v>
      </c>
      <c r="B388" s="159" t="s">
        <v>631</v>
      </c>
      <c r="C388" s="159" t="s">
        <v>790</v>
      </c>
      <c r="D388" s="25">
        <v>4620000</v>
      </c>
      <c r="E388" s="25">
        <v>1489681</v>
      </c>
      <c r="F388" s="25">
        <f t="shared" ref="F388:F451" si="6">D388-E388</f>
        <v>3130319</v>
      </c>
      <c r="G388" s="25"/>
    </row>
    <row r="389" spans="1:7">
      <c r="A389" s="159" t="s">
        <v>791</v>
      </c>
      <c r="B389" s="159" t="s">
        <v>631</v>
      </c>
      <c r="C389" s="159" t="s">
        <v>790</v>
      </c>
      <c r="D389" s="25">
        <v>1540000</v>
      </c>
      <c r="E389" s="25">
        <v>496560</v>
      </c>
      <c r="F389" s="25">
        <f t="shared" si="6"/>
        <v>1043440</v>
      </c>
      <c r="G389" s="25"/>
    </row>
    <row r="390" spans="1:7">
      <c r="A390" s="159" t="s">
        <v>792</v>
      </c>
      <c r="B390" s="159" t="s">
        <v>631</v>
      </c>
      <c r="C390" s="159" t="s">
        <v>790</v>
      </c>
      <c r="D390" s="25">
        <v>510000</v>
      </c>
      <c r="E390" s="25">
        <v>164445</v>
      </c>
      <c r="F390" s="25">
        <f t="shared" si="6"/>
        <v>345555</v>
      </c>
      <c r="G390" s="25"/>
    </row>
    <row r="391" spans="1:7">
      <c r="A391" s="159" t="s">
        <v>793</v>
      </c>
      <c r="B391" s="159" t="s">
        <v>631</v>
      </c>
      <c r="C391" s="159" t="s">
        <v>794</v>
      </c>
      <c r="D391" s="25">
        <v>1920000</v>
      </c>
      <c r="E391" s="25">
        <v>360283</v>
      </c>
      <c r="F391" s="25">
        <f t="shared" si="6"/>
        <v>1559717</v>
      </c>
      <c r="G391" s="25"/>
    </row>
    <row r="392" spans="1:7">
      <c r="A392" s="159" t="s">
        <v>795</v>
      </c>
      <c r="B392" s="159" t="s">
        <v>631</v>
      </c>
      <c r="C392" s="159" t="s">
        <v>794</v>
      </c>
      <c r="D392" s="25">
        <v>1</v>
      </c>
      <c r="E392" s="25">
        <v>0</v>
      </c>
      <c r="F392" s="25">
        <f t="shared" si="6"/>
        <v>1</v>
      </c>
      <c r="G392" s="25"/>
    </row>
    <row r="393" spans="1:7">
      <c r="A393" s="159" t="s">
        <v>796</v>
      </c>
      <c r="B393" s="159" t="s">
        <v>631</v>
      </c>
      <c r="C393" s="159" t="s">
        <v>797</v>
      </c>
      <c r="D393" s="25">
        <v>50000</v>
      </c>
      <c r="E393" s="25">
        <v>12181</v>
      </c>
      <c r="F393" s="25">
        <f t="shared" si="6"/>
        <v>37819</v>
      </c>
      <c r="G393" s="25"/>
    </row>
    <row r="394" spans="1:7">
      <c r="A394" s="159" t="s">
        <v>798</v>
      </c>
      <c r="B394" s="159" t="s">
        <v>631</v>
      </c>
      <c r="C394" s="159" t="s">
        <v>797</v>
      </c>
      <c r="D394" s="25">
        <v>1</v>
      </c>
      <c r="E394" s="25">
        <v>0</v>
      </c>
      <c r="F394" s="25">
        <f t="shared" si="6"/>
        <v>1</v>
      </c>
      <c r="G394" s="25"/>
    </row>
    <row r="395" spans="1:7">
      <c r="A395" s="159" t="s">
        <v>799</v>
      </c>
      <c r="B395" s="159" t="s">
        <v>631</v>
      </c>
      <c r="C395" s="159" t="s">
        <v>800</v>
      </c>
      <c r="D395" s="25">
        <v>1</v>
      </c>
      <c r="E395" s="25">
        <v>0</v>
      </c>
      <c r="F395" s="25">
        <f t="shared" si="6"/>
        <v>1</v>
      </c>
      <c r="G395" s="25"/>
    </row>
    <row r="396" spans="1:7">
      <c r="A396" s="159" t="s">
        <v>801</v>
      </c>
      <c r="B396" s="159" t="s">
        <v>631</v>
      </c>
      <c r="C396" s="159" t="s">
        <v>800</v>
      </c>
      <c r="D396" s="25">
        <v>1180000</v>
      </c>
      <c r="E396" s="25">
        <v>380488</v>
      </c>
      <c r="F396" s="25">
        <f t="shared" si="6"/>
        <v>799512</v>
      </c>
      <c r="G396" s="25"/>
    </row>
    <row r="397" spans="1:7">
      <c r="A397" s="159" t="s">
        <v>802</v>
      </c>
      <c r="B397" s="159" t="s">
        <v>631</v>
      </c>
      <c r="C397" s="159" t="s">
        <v>800</v>
      </c>
      <c r="D397" s="25">
        <v>1</v>
      </c>
      <c r="E397" s="25">
        <v>0</v>
      </c>
      <c r="F397" s="25">
        <f t="shared" si="6"/>
        <v>1</v>
      </c>
      <c r="G397" s="25"/>
    </row>
    <row r="398" spans="1:7">
      <c r="A398" s="159" t="s">
        <v>803</v>
      </c>
      <c r="B398" s="159" t="s">
        <v>631</v>
      </c>
      <c r="C398" s="159" t="s">
        <v>804</v>
      </c>
      <c r="D398" s="25">
        <v>315000</v>
      </c>
      <c r="E398" s="25">
        <v>101569</v>
      </c>
      <c r="F398" s="25">
        <f t="shared" si="6"/>
        <v>213431</v>
      </c>
      <c r="G398" s="25"/>
    </row>
    <row r="399" spans="1:7">
      <c r="A399" s="159" t="s">
        <v>805</v>
      </c>
      <c r="B399" s="159" t="s">
        <v>631</v>
      </c>
      <c r="C399" s="159" t="s">
        <v>804</v>
      </c>
      <c r="D399" s="25">
        <v>1</v>
      </c>
      <c r="E399" s="25">
        <v>0</v>
      </c>
      <c r="F399" s="25">
        <f t="shared" si="6"/>
        <v>1</v>
      </c>
      <c r="G399" s="25"/>
    </row>
    <row r="400" spans="1:7">
      <c r="A400" s="159" t="s">
        <v>806</v>
      </c>
      <c r="B400" s="159" t="s">
        <v>631</v>
      </c>
      <c r="C400" s="159" t="s">
        <v>807</v>
      </c>
      <c r="D400" s="25">
        <v>200000</v>
      </c>
      <c r="E400" s="25">
        <v>34485</v>
      </c>
      <c r="F400" s="25">
        <f t="shared" si="6"/>
        <v>165515</v>
      </c>
      <c r="G400" s="25"/>
    </row>
    <row r="401" spans="1:7">
      <c r="A401" s="159" t="s">
        <v>808</v>
      </c>
      <c r="B401" s="159" t="s">
        <v>631</v>
      </c>
      <c r="C401" s="159" t="s">
        <v>807</v>
      </c>
      <c r="D401" s="25">
        <v>1</v>
      </c>
      <c r="E401" s="25">
        <v>0</v>
      </c>
      <c r="F401" s="25">
        <f t="shared" si="6"/>
        <v>1</v>
      </c>
      <c r="G401" s="25"/>
    </row>
    <row r="402" spans="1:7">
      <c r="A402" s="159" t="s">
        <v>809</v>
      </c>
      <c r="B402" s="159" t="s">
        <v>631</v>
      </c>
      <c r="C402" s="159" t="s">
        <v>810</v>
      </c>
      <c r="D402" s="25">
        <v>6790994</v>
      </c>
      <c r="E402" s="25">
        <v>1727581</v>
      </c>
      <c r="F402" s="25">
        <f t="shared" si="6"/>
        <v>5063413</v>
      </c>
      <c r="G402" s="25"/>
    </row>
    <row r="403" spans="1:7">
      <c r="A403" s="159" t="s">
        <v>811</v>
      </c>
      <c r="B403" s="159" t="s">
        <v>631</v>
      </c>
      <c r="C403" s="159" t="s">
        <v>810</v>
      </c>
      <c r="D403" s="25">
        <v>16797770</v>
      </c>
      <c r="E403" s="25">
        <v>1884629</v>
      </c>
      <c r="F403" s="25">
        <f t="shared" si="6"/>
        <v>14913141</v>
      </c>
      <c r="G403" s="25"/>
    </row>
    <row r="404" spans="1:7">
      <c r="A404" s="159" t="s">
        <v>812</v>
      </c>
      <c r="B404" s="159" t="s">
        <v>631</v>
      </c>
      <c r="C404" s="159" t="s">
        <v>813</v>
      </c>
      <c r="D404" s="25">
        <v>1</v>
      </c>
      <c r="E404" s="25">
        <v>0</v>
      </c>
      <c r="F404" s="25">
        <f t="shared" si="6"/>
        <v>1</v>
      </c>
      <c r="G404" s="25"/>
    </row>
    <row r="405" spans="1:7">
      <c r="A405" s="159" t="s">
        <v>814</v>
      </c>
      <c r="B405" s="159" t="s">
        <v>631</v>
      </c>
      <c r="C405" s="159" t="s">
        <v>813</v>
      </c>
      <c r="D405" s="25">
        <v>1152000</v>
      </c>
      <c r="E405" s="25">
        <v>371453</v>
      </c>
      <c r="F405" s="25">
        <f t="shared" si="6"/>
        <v>780547</v>
      </c>
      <c r="G405" s="25"/>
    </row>
    <row r="406" spans="1:7">
      <c r="A406" s="159" t="s">
        <v>815</v>
      </c>
      <c r="B406" s="159" t="s">
        <v>631</v>
      </c>
      <c r="C406" s="159" t="s">
        <v>813</v>
      </c>
      <c r="D406" s="25">
        <v>1</v>
      </c>
      <c r="E406" s="25">
        <v>0</v>
      </c>
      <c r="F406" s="25">
        <f t="shared" si="6"/>
        <v>1</v>
      </c>
      <c r="G406" s="25"/>
    </row>
    <row r="407" spans="1:7">
      <c r="A407" s="159" t="s">
        <v>816</v>
      </c>
      <c r="B407" s="159" t="s">
        <v>631</v>
      </c>
      <c r="C407" s="159" t="s">
        <v>226</v>
      </c>
      <c r="D407" s="25">
        <v>75000</v>
      </c>
      <c r="E407" s="25">
        <v>24183</v>
      </c>
      <c r="F407" s="25">
        <f t="shared" si="6"/>
        <v>50817</v>
      </c>
      <c r="G407" s="25"/>
    </row>
    <row r="408" spans="1:7">
      <c r="A408" s="159" t="s">
        <v>817</v>
      </c>
      <c r="B408" s="159" t="s">
        <v>631</v>
      </c>
      <c r="C408" s="159" t="s">
        <v>226</v>
      </c>
      <c r="D408" s="25">
        <v>1</v>
      </c>
      <c r="E408" s="25">
        <v>0</v>
      </c>
      <c r="F408" s="25">
        <f t="shared" si="6"/>
        <v>1</v>
      </c>
      <c r="G408" s="25"/>
    </row>
    <row r="409" spans="1:7">
      <c r="A409" s="159" t="s">
        <v>818</v>
      </c>
      <c r="B409" s="159" t="s">
        <v>631</v>
      </c>
      <c r="C409" s="159" t="s">
        <v>228</v>
      </c>
      <c r="D409" s="25">
        <v>160000</v>
      </c>
      <c r="E409" s="25">
        <v>51598</v>
      </c>
      <c r="F409" s="25">
        <f t="shared" si="6"/>
        <v>108402</v>
      </c>
      <c r="G409" s="25"/>
    </row>
    <row r="410" spans="1:7">
      <c r="A410" s="159" t="s">
        <v>819</v>
      </c>
      <c r="B410" s="159" t="s">
        <v>631</v>
      </c>
      <c r="C410" s="159" t="s">
        <v>228</v>
      </c>
      <c r="D410" s="25">
        <v>1</v>
      </c>
      <c r="E410" s="25">
        <v>0</v>
      </c>
      <c r="F410" s="25">
        <f t="shared" si="6"/>
        <v>1</v>
      </c>
      <c r="G410" s="25"/>
    </row>
    <row r="411" spans="1:7">
      <c r="A411" s="159" t="s">
        <v>820</v>
      </c>
      <c r="B411" s="159" t="s">
        <v>631</v>
      </c>
      <c r="C411" s="159" t="s">
        <v>230</v>
      </c>
      <c r="D411" s="25">
        <v>195000</v>
      </c>
      <c r="E411" s="25">
        <v>62877</v>
      </c>
      <c r="F411" s="25">
        <f t="shared" si="6"/>
        <v>132123</v>
      </c>
      <c r="G411" s="25"/>
    </row>
    <row r="412" spans="1:7">
      <c r="A412" s="159" t="s">
        <v>821</v>
      </c>
      <c r="B412" s="159" t="s">
        <v>631</v>
      </c>
      <c r="C412" s="159" t="s">
        <v>230</v>
      </c>
      <c r="D412" s="25">
        <v>1</v>
      </c>
      <c r="E412" s="25">
        <v>0</v>
      </c>
      <c r="F412" s="25">
        <f t="shared" si="6"/>
        <v>1</v>
      </c>
      <c r="G412" s="25"/>
    </row>
    <row r="413" spans="1:7">
      <c r="A413" s="159" t="s">
        <v>822</v>
      </c>
      <c r="B413" s="159" t="s">
        <v>631</v>
      </c>
      <c r="C413" s="159" t="s">
        <v>232</v>
      </c>
      <c r="D413" s="25">
        <v>220000</v>
      </c>
      <c r="E413" s="25">
        <v>70938</v>
      </c>
      <c r="F413" s="25">
        <f t="shared" si="6"/>
        <v>149062</v>
      </c>
      <c r="G413" s="25"/>
    </row>
    <row r="414" spans="1:7">
      <c r="A414" s="159" t="s">
        <v>823</v>
      </c>
      <c r="B414" s="159" t="s">
        <v>631</v>
      </c>
      <c r="C414" s="159" t="s">
        <v>232</v>
      </c>
      <c r="D414" s="25">
        <v>1</v>
      </c>
      <c r="E414" s="25">
        <v>0</v>
      </c>
      <c r="F414" s="25">
        <f t="shared" si="6"/>
        <v>1</v>
      </c>
      <c r="G414" s="25"/>
    </row>
    <row r="415" spans="1:7">
      <c r="A415" s="159" t="s">
        <v>824</v>
      </c>
      <c r="B415" s="159" t="s">
        <v>631</v>
      </c>
      <c r="C415" s="159" t="s">
        <v>234</v>
      </c>
      <c r="D415" s="25">
        <v>230000</v>
      </c>
      <c r="E415" s="25">
        <v>74154</v>
      </c>
      <c r="F415" s="25">
        <f t="shared" si="6"/>
        <v>155846</v>
      </c>
      <c r="G415" s="25"/>
    </row>
    <row r="416" spans="1:7">
      <c r="A416" s="159" t="s">
        <v>825</v>
      </c>
      <c r="B416" s="159" t="s">
        <v>631</v>
      </c>
      <c r="C416" s="159" t="s">
        <v>234</v>
      </c>
      <c r="D416" s="25">
        <v>1</v>
      </c>
      <c r="E416" s="25">
        <v>0</v>
      </c>
      <c r="F416" s="25">
        <f t="shared" si="6"/>
        <v>1</v>
      </c>
      <c r="G416" s="25"/>
    </row>
    <row r="417" spans="1:7">
      <c r="A417" s="159" t="s">
        <v>826</v>
      </c>
      <c r="B417" s="159" t="s">
        <v>631</v>
      </c>
      <c r="C417" s="159" t="s">
        <v>236</v>
      </c>
      <c r="D417" s="25">
        <v>248000</v>
      </c>
      <c r="E417" s="25">
        <v>79965</v>
      </c>
      <c r="F417" s="25">
        <f t="shared" si="6"/>
        <v>168035</v>
      </c>
      <c r="G417" s="25"/>
    </row>
    <row r="418" spans="1:7">
      <c r="A418" s="159" t="s">
        <v>827</v>
      </c>
      <c r="B418" s="159" t="s">
        <v>631</v>
      </c>
      <c r="C418" s="159" t="s">
        <v>236</v>
      </c>
      <c r="D418" s="25">
        <v>1</v>
      </c>
      <c r="E418" s="25">
        <v>0</v>
      </c>
      <c r="F418" s="25">
        <f t="shared" si="6"/>
        <v>1</v>
      </c>
      <c r="G418" s="25"/>
    </row>
    <row r="419" spans="1:7">
      <c r="A419" s="159" t="s">
        <v>828</v>
      </c>
      <c r="B419" s="159" t="s">
        <v>631</v>
      </c>
      <c r="C419" s="159" t="s">
        <v>238</v>
      </c>
      <c r="D419" s="25">
        <v>193000</v>
      </c>
      <c r="E419" s="25">
        <v>62231</v>
      </c>
      <c r="F419" s="25">
        <f t="shared" si="6"/>
        <v>130769</v>
      </c>
      <c r="G419" s="25"/>
    </row>
    <row r="420" spans="1:7">
      <c r="A420" s="159" t="s">
        <v>829</v>
      </c>
      <c r="B420" s="159" t="s">
        <v>631</v>
      </c>
      <c r="C420" s="159" t="s">
        <v>238</v>
      </c>
      <c r="D420" s="25">
        <v>1</v>
      </c>
      <c r="E420" s="25">
        <v>0</v>
      </c>
      <c r="F420" s="25">
        <f t="shared" si="6"/>
        <v>1</v>
      </c>
      <c r="G420" s="25"/>
    </row>
    <row r="421" spans="1:7">
      <c r="A421" s="159" t="s">
        <v>830</v>
      </c>
      <c r="B421" s="159" t="s">
        <v>631</v>
      </c>
      <c r="C421" s="159" t="s">
        <v>240</v>
      </c>
      <c r="D421" s="25">
        <v>438000</v>
      </c>
      <c r="E421" s="25">
        <v>141229</v>
      </c>
      <c r="F421" s="25">
        <f t="shared" si="6"/>
        <v>296771</v>
      </c>
      <c r="G421" s="25"/>
    </row>
    <row r="422" spans="1:7">
      <c r="A422" s="159" t="s">
        <v>831</v>
      </c>
      <c r="B422" s="159" t="s">
        <v>631</v>
      </c>
      <c r="C422" s="159" t="s">
        <v>240</v>
      </c>
      <c r="D422" s="25">
        <v>1</v>
      </c>
      <c r="E422" s="25">
        <v>0</v>
      </c>
      <c r="F422" s="25">
        <f t="shared" si="6"/>
        <v>1</v>
      </c>
      <c r="G422" s="25"/>
    </row>
    <row r="423" spans="1:7">
      <c r="A423" s="159" t="s">
        <v>832</v>
      </c>
      <c r="B423" s="159" t="s">
        <v>631</v>
      </c>
      <c r="C423" s="159" t="s">
        <v>242</v>
      </c>
      <c r="D423" s="25">
        <v>155000</v>
      </c>
      <c r="E423" s="25">
        <v>49978</v>
      </c>
      <c r="F423" s="25">
        <f t="shared" si="6"/>
        <v>105022</v>
      </c>
      <c r="G423" s="25"/>
    </row>
    <row r="424" spans="1:7">
      <c r="A424" s="159" t="s">
        <v>833</v>
      </c>
      <c r="B424" s="159" t="s">
        <v>631</v>
      </c>
      <c r="C424" s="159" t="s">
        <v>242</v>
      </c>
      <c r="D424" s="25">
        <v>1</v>
      </c>
      <c r="E424" s="25">
        <v>0</v>
      </c>
      <c r="F424" s="25">
        <f t="shared" si="6"/>
        <v>1</v>
      </c>
      <c r="G424" s="25"/>
    </row>
    <row r="425" spans="1:7">
      <c r="A425" s="159" t="s">
        <v>834</v>
      </c>
      <c r="B425" s="159" t="s">
        <v>631</v>
      </c>
      <c r="C425" s="159" t="s">
        <v>244</v>
      </c>
      <c r="D425" s="25">
        <v>42000</v>
      </c>
      <c r="E425" s="25">
        <v>13550</v>
      </c>
      <c r="F425" s="25">
        <f t="shared" si="6"/>
        <v>28450</v>
      </c>
      <c r="G425" s="25"/>
    </row>
    <row r="426" spans="1:7">
      <c r="A426" s="159" t="s">
        <v>835</v>
      </c>
      <c r="B426" s="159" t="s">
        <v>631</v>
      </c>
      <c r="C426" s="159" t="s">
        <v>244</v>
      </c>
      <c r="D426" s="25">
        <v>1</v>
      </c>
      <c r="E426" s="25">
        <v>0</v>
      </c>
      <c r="F426" s="25">
        <f t="shared" si="6"/>
        <v>1</v>
      </c>
      <c r="G426" s="25"/>
    </row>
    <row r="427" spans="1:7">
      <c r="A427" s="159" t="s">
        <v>836</v>
      </c>
      <c r="B427" s="159" t="s">
        <v>631</v>
      </c>
      <c r="C427" s="159" t="s">
        <v>246</v>
      </c>
      <c r="D427" s="25">
        <v>248000</v>
      </c>
      <c r="E427" s="25">
        <v>79965</v>
      </c>
      <c r="F427" s="25">
        <f t="shared" si="6"/>
        <v>168035</v>
      </c>
      <c r="G427" s="25"/>
    </row>
    <row r="428" spans="1:7">
      <c r="A428" s="159" t="s">
        <v>837</v>
      </c>
      <c r="B428" s="159" t="s">
        <v>631</v>
      </c>
      <c r="C428" s="159" t="s">
        <v>246</v>
      </c>
      <c r="D428" s="25">
        <v>1</v>
      </c>
      <c r="E428" s="25">
        <v>0</v>
      </c>
      <c r="F428" s="25">
        <f t="shared" si="6"/>
        <v>1</v>
      </c>
      <c r="G428" s="25"/>
    </row>
    <row r="429" spans="1:7">
      <c r="A429" s="159" t="s">
        <v>838</v>
      </c>
      <c r="B429" s="159" t="s">
        <v>631</v>
      </c>
      <c r="C429" s="159" t="s">
        <v>248</v>
      </c>
      <c r="D429" s="25">
        <v>43000</v>
      </c>
      <c r="E429" s="25">
        <v>13865</v>
      </c>
      <c r="F429" s="25">
        <f t="shared" si="6"/>
        <v>29135</v>
      </c>
      <c r="G429" s="25"/>
    </row>
    <row r="430" spans="1:7">
      <c r="A430" s="159" t="s">
        <v>839</v>
      </c>
      <c r="B430" s="159" t="s">
        <v>631</v>
      </c>
      <c r="C430" s="159" t="s">
        <v>248</v>
      </c>
      <c r="D430" s="25">
        <v>1</v>
      </c>
      <c r="E430" s="25">
        <v>0</v>
      </c>
      <c r="F430" s="25">
        <f t="shared" si="6"/>
        <v>1</v>
      </c>
      <c r="G430" s="25"/>
    </row>
    <row r="431" spans="1:7">
      <c r="A431" s="159" t="s">
        <v>840</v>
      </c>
      <c r="B431" s="159" t="s">
        <v>631</v>
      </c>
      <c r="C431" s="159" t="s">
        <v>250</v>
      </c>
      <c r="D431" s="25">
        <v>69000</v>
      </c>
      <c r="E431" s="25">
        <v>22249</v>
      </c>
      <c r="F431" s="25">
        <f t="shared" si="6"/>
        <v>46751</v>
      </c>
      <c r="G431" s="25"/>
    </row>
    <row r="432" spans="1:7">
      <c r="A432" s="159" t="s">
        <v>841</v>
      </c>
      <c r="B432" s="159" t="s">
        <v>631</v>
      </c>
      <c r="C432" s="159" t="s">
        <v>250</v>
      </c>
      <c r="D432" s="25">
        <v>1</v>
      </c>
      <c r="E432" s="25">
        <v>0</v>
      </c>
      <c r="F432" s="25">
        <f t="shared" si="6"/>
        <v>1</v>
      </c>
      <c r="G432" s="25"/>
    </row>
    <row r="433" spans="1:7">
      <c r="A433" s="159" t="s">
        <v>842</v>
      </c>
      <c r="B433" s="159" t="s">
        <v>631</v>
      </c>
      <c r="C433" s="159" t="s">
        <v>252</v>
      </c>
      <c r="D433" s="25">
        <v>56000</v>
      </c>
      <c r="E433" s="25">
        <v>18049</v>
      </c>
      <c r="F433" s="25">
        <f t="shared" si="6"/>
        <v>37951</v>
      </c>
      <c r="G433" s="25"/>
    </row>
    <row r="434" spans="1:7">
      <c r="A434" s="159" t="s">
        <v>843</v>
      </c>
      <c r="B434" s="159" t="s">
        <v>631</v>
      </c>
      <c r="C434" s="159" t="s">
        <v>252</v>
      </c>
      <c r="D434" s="25">
        <v>1</v>
      </c>
      <c r="E434" s="25">
        <v>0</v>
      </c>
      <c r="F434" s="25">
        <f t="shared" si="6"/>
        <v>1</v>
      </c>
      <c r="G434" s="25"/>
    </row>
    <row r="435" spans="1:7">
      <c r="A435" s="159" t="s">
        <v>844</v>
      </c>
      <c r="B435" s="159" t="s">
        <v>631</v>
      </c>
      <c r="C435" s="159" t="s">
        <v>845</v>
      </c>
      <c r="D435" s="25">
        <v>85000</v>
      </c>
      <c r="E435" s="25">
        <v>27415</v>
      </c>
      <c r="F435" s="25">
        <f t="shared" si="6"/>
        <v>57585</v>
      </c>
      <c r="G435" s="25"/>
    </row>
    <row r="436" spans="1:7">
      <c r="A436" s="159" t="s">
        <v>846</v>
      </c>
      <c r="B436" s="159" t="s">
        <v>631</v>
      </c>
      <c r="C436" s="159" t="s">
        <v>845</v>
      </c>
      <c r="D436" s="25">
        <v>1</v>
      </c>
      <c r="E436" s="25">
        <v>0</v>
      </c>
      <c r="F436" s="25">
        <f t="shared" si="6"/>
        <v>1</v>
      </c>
      <c r="G436" s="25"/>
    </row>
    <row r="437" spans="1:7">
      <c r="A437" s="159" t="s">
        <v>847</v>
      </c>
      <c r="B437" s="159" t="s">
        <v>631</v>
      </c>
      <c r="C437" s="159" t="s">
        <v>256</v>
      </c>
      <c r="D437" s="25">
        <v>1878000</v>
      </c>
      <c r="E437" s="25">
        <v>605546</v>
      </c>
      <c r="F437" s="25">
        <f t="shared" si="6"/>
        <v>1272454</v>
      </c>
      <c r="G437" s="25"/>
    </row>
    <row r="438" spans="1:7">
      <c r="A438" s="159" t="s">
        <v>848</v>
      </c>
      <c r="B438" s="159" t="s">
        <v>631</v>
      </c>
      <c r="C438" s="159" t="s">
        <v>256</v>
      </c>
      <c r="D438" s="25">
        <v>1</v>
      </c>
      <c r="E438" s="25">
        <v>0</v>
      </c>
      <c r="F438" s="25">
        <f t="shared" si="6"/>
        <v>1</v>
      </c>
      <c r="G438" s="25"/>
    </row>
    <row r="439" spans="1:7">
      <c r="A439" s="159" t="s">
        <v>849</v>
      </c>
      <c r="B439" s="159" t="s">
        <v>631</v>
      </c>
      <c r="C439" s="159" t="s">
        <v>850</v>
      </c>
      <c r="D439" s="25">
        <v>1385000</v>
      </c>
      <c r="E439" s="25">
        <v>446582</v>
      </c>
      <c r="F439" s="25">
        <f t="shared" si="6"/>
        <v>938418</v>
      </c>
      <c r="G439" s="25"/>
    </row>
    <row r="440" spans="1:7">
      <c r="A440" s="159" t="s">
        <v>851</v>
      </c>
      <c r="B440" s="159" t="s">
        <v>631</v>
      </c>
      <c r="C440" s="159" t="s">
        <v>850</v>
      </c>
      <c r="D440" s="25">
        <v>1</v>
      </c>
      <c r="E440" s="25">
        <v>0</v>
      </c>
      <c r="F440" s="25">
        <f t="shared" si="6"/>
        <v>1</v>
      </c>
      <c r="G440" s="25"/>
    </row>
    <row r="441" spans="1:7">
      <c r="A441" s="159" t="s">
        <v>852</v>
      </c>
      <c r="B441" s="159" t="s">
        <v>631</v>
      </c>
      <c r="C441" s="159" t="s">
        <v>853</v>
      </c>
      <c r="D441" s="25">
        <v>225000</v>
      </c>
      <c r="E441" s="25">
        <v>72542</v>
      </c>
      <c r="F441" s="25">
        <f t="shared" si="6"/>
        <v>152458</v>
      </c>
      <c r="G441" s="25"/>
    </row>
    <row r="442" spans="1:7">
      <c r="A442" s="159" t="s">
        <v>854</v>
      </c>
      <c r="B442" s="159" t="s">
        <v>631</v>
      </c>
      <c r="C442" s="159" t="s">
        <v>853</v>
      </c>
      <c r="D442" s="25">
        <v>1</v>
      </c>
      <c r="E442" s="25">
        <v>0</v>
      </c>
      <c r="F442" s="25">
        <f t="shared" si="6"/>
        <v>1</v>
      </c>
      <c r="G442" s="25"/>
    </row>
    <row r="443" spans="1:7">
      <c r="A443" s="159" t="s">
        <v>855</v>
      </c>
      <c r="B443" s="159" t="s">
        <v>631</v>
      </c>
      <c r="C443" s="159" t="s">
        <v>856</v>
      </c>
      <c r="D443" s="25">
        <v>83000</v>
      </c>
      <c r="E443" s="25">
        <v>26770</v>
      </c>
      <c r="F443" s="25">
        <f t="shared" si="6"/>
        <v>56230</v>
      </c>
      <c r="G443" s="25"/>
    </row>
    <row r="444" spans="1:7">
      <c r="A444" s="159" t="s">
        <v>857</v>
      </c>
      <c r="B444" s="159" t="s">
        <v>631</v>
      </c>
      <c r="C444" s="159" t="s">
        <v>856</v>
      </c>
      <c r="D444" s="25">
        <v>1</v>
      </c>
      <c r="E444" s="25">
        <v>0</v>
      </c>
      <c r="F444" s="25">
        <f t="shared" si="6"/>
        <v>1</v>
      </c>
      <c r="G444" s="25"/>
    </row>
    <row r="445" spans="1:7">
      <c r="A445" s="159" t="s">
        <v>858</v>
      </c>
      <c r="B445" s="159" t="s">
        <v>631</v>
      </c>
      <c r="C445" s="159" t="s">
        <v>859</v>
      </c>
      <c r="D445" s="25">
        <v>608000</v>
      </c>
      <c r="E445" s="25">
        <v>196044</v>
      </c>
      <c r="F445" s="25">
        <f t="shared" si="6"/>
        <v>411956</v>
      </c>
      <c r="G445" s="25"/>
    </row>
    <row r="446" spans="1:7">
      <c r="A446" s="159" t="s">
        <v>860</v>
      </c>
      <c r="B446" s="159" t="s">
        <v>631</v>
      </c>
      <c r="C446" s="159" t="s">
        <v>859</v>
      </c>
      <c r="D446" s="25">
        <v>1</v>
      </c>
      <c r="E446" s="25">
        <v>0</v>
      </c>
      <c r="F446" s="25">
        <f t="shared" si="6"/>
        <v>1</v>
      </c>
      <c r="G446" s="25"/>
    </row>
    <row r="447" spans="1:7">
      <c r="A447" s="159" t="s">
        <v>861</v>
      </c>
      <c r="B447" s="159" t="s">
        <v>631</v>
      </c>
      <c r="C447" s="159" t="s">
        <v>862</v>
      </c>
      <c r="D447" s="25">
        <v>523000</v>
      </c>
      <c r="E447" s="25">
        <v>168644</v>
      </c>
      <c r="F447" s="25">
        <f t="shared" si="6"/>
        <v>354356</v>
      </c>
      <c r="G447" s="25"/>
    </row>
    <row r="448" spans="1:7">
      <c r="A448" s="159" t="s">
        <v>863</v>
      </c>
      <c r="B448" s="159" t="s">
        <v>631</v>
      </c>
      <c r="C448" s="159" t="s">
        <v>266</v>
      </c>
      <c r="D448" s="25">
        <v>1</v>
      </c>
      <c r="E448" s="25">
        <v>0</v>
      </c>
      <c r="F448" s="25">
        <f t="shared" si="6"/>
        <v>1</v>
      </c>
      <c r="G448" s="25"/>
    </row>
    <row r="449" spans="1:7">
      <c r="A449" s="159" t="s">
        <v>864</v>
      </c>
      <c r="B449" s="159" t="s">
        <v>631</v>
      </c>
      <c r="C449" s="159" t="s">
        <v>268</v>
      </c>
      <c r="D449" s="25">
        <v>530000</v>
      </c>
      <c r="E449" s="25">
        <v>170901</v>
      </c>
      <c r="F449" s="25">
        <f t="shared" si="6"/>
        <v>359099</v>
      </c>
      <c r="G449" s="25"/>
    </row>
    <row r="450" spans="1:7">
      <c r="A450" s="159" t="s">
        <v>865</v>
      </c>
      <c r="B450" s="159" t="s">
        <v>631</v>
      </c>
      <c r="C450" s="159" t="s">
        <v>268</v>
      </c>
      <c r="D450" s="25">
        <v>1</v>
      </c>
      <c r="E450" s="25">
        <v>0</v>
      </c>
      <c r="F450" s="25">
        <f t="shared" si="6"/>
        <v>1</v>
      </c>
      <c r="G450" s="25"/>
    </row>
    <row r="451" spans="1:7">
      <c r="A451" s="159" t="s">
        <v>866</v>
      </c>
      <c r="B451" s="159" t="s">
        <v>631</v>
      </c>
      <c r="C451" s="159" t="s">
        <v>270</v>
      </c>
      <c r="D451" s="25">
        <v>538000</v>
      </c>
      <c r="E451" s="25">
        <v>173573</v>
      </c>
      <c r="F451" s="25">
        <f t="shared" si="6"/>
        <v>364427</v>
      </c>
      <c r="G451" s="25"/>
    </row>
    <row r="452" spans="1:7">
      <c r="A452" s="159" t="s">
        <v>867</v>
      </c>
      <c r="B452" s="159" t="s">
        <v>631</v>
      </c>
      <c r="C452" s="159" t="s">
        <v>270</v>
      </c>
      <c r="D452" s="25">
        <v>1</v>
      </c>
      <c r="E452" s="25">
        <v>0</v>
      </c>
      <c r="F452" s="25">
        <f t="shared" ref="F452:F515" si="7">D452-E452</f>
        <v>1</v>
      </c>
      <c r="G452" s="25"/>
    </row>
    <row r="453" spans="1:7">
      <c r="A453" s="159" t="s">
        <v>868</v>
      </c>
      <c r="B453" s="159" t="s">
        <v>631</v>
      </c>
      <c r="C453" s="159" t="s">
        <v>272</v>
      </c>
      <c r="D453" s="25">
        <v>548000</v>
      </c>
      <c r="E453" s="25">
        <v>176705</v>
      </c>
      <c r="F453" s="25">
        <f t="shared" si="7"/>
        <v>371295</v>
      </c>
      <c r="G453" s="25"/>
    </row>
    <row r="454" spans="1:7">
      <c r="A454" s="159" t="s">
        <v>869</v>
      </c>
      <c r="B454" s="159" t="s">
        <v>631</v>
      </c>
      <c r="C454" s="159" t="s">
        <v>272</v>
      </c>
      <c r="D454" s="25">
        <v>1</v>
      </c>
      <c r="E454" s="25">
        <v>0</v>
      </c>
      <c r="F454" s="25">
        <f t="shared" si="7"/>
        <v>1</v>
      </c>
      <c r="G454" s="25"/>
    </row>
    <row r="455" spans="1:7">
      <c r="A455" s="159" t="s">
        <v>870</v>
      </c>
      <c r="B455" s="159" t="s">
        <v>631</v>
      </c>
      <c r="C455" s="159" t="s">
        <v>274</v>
      </c>
      <c r="D455" s="25">
        <v>2459000</v>
      </c>
      <c r="E455" s="25">
        <v>792884</v>
      </c>
      <c r="F455" s="25">
        <f t="shared" si="7"/>
        <v>1666116</v>
      </c>
      <c r="G455" s="25"/>
    </row>
    <row r="456" spans="1:7">
      <c r="A456" s="159" t="s">
        <v>871</v>
      </c>
      <c r="B456" s="159" t="s">
        <v>631</v>
      </c>
      <c r="C456" s="159" t="s">
        <v>274</v>
      </c>
      <c r="D456" s="25">
        <v>1</v>
      </c>
      <c r="E456" s="25">
        <v>0</v>
      </c>
      <c r="F456" s="25">
        <f t="shared" si="7"/>
        <v>1</v>
      </c>
      <c r="G456" s="25"/>
    </row>
    <row r="457" spans="1:7">
      <c r="A457" s="159" t="s">
        <v>872</v>
      </c>
      <c r="B457" s="159" t="s">
        <v>631</v>
      </c>
      <c r="C457" s="159" t="s">
        <v>276</v>
      </c>
      <c r="D457" s="25">
        <v>186000</v>
      </c>
      <c r="E457" s="25">
        <v>40477</v>
      </c>
      <c r="F457" s="25">
        <f t="shared" si="7"/>
        <v>145523</v>
      </c>
      <c r="G457" s="25"/>
    </row>
    <row r="458" spans="1:7">
      <c r="A458" s="159" t="s">
        <v>873</v>
      </c>
      <c r="B458" s="159" t="s">
        <v>631</v>
      </c>
      <c r="C458" s="159" t="s">
        <v>278</v>
      </c>
      <c r="D458" s="25">
        <v>1986000</v>
      </c>
      <c r="E458" s="25">
        <v>432242</v>
      </c>
      <c r="F458" s="25">
        <f t="shared" si="7"/>
        <v>1553758</v>
      </c>
      <c r="G458" s="25"/>
    </row>
    <row r="459" spans="1:7">
      <c r="A459" s="159" t="s">
        <v>874</v>
      </c>
      <c r="B459" s="159" t="s">
        <v>631</v>
      </c>
      <c r="C459" s="159" t="s">
        <v>280</v>
      </c>
      <c r="D459" s="25">
        <v>530000</v>
      </c>
      <c r="E459" s="25">
        <v>170901</v>
      </c>
      <c r="F459" s="25">
        <f t="shared" si="7"/>
        <v>359099</v>
      </c>
      <c r="G459" s="25"/>
    </row>
    <row r="460" spans="1:7">
      <c r="A460" s="159" t="s">
        <v>875</v>
      </c>
      <c r="B460" s="159" t="s">
        <v>631</v>
      </c>
      <c r="C460" s="159" t="s">
        <v>280</v>
      </c>
      <c r="D460" s="25">
        <v>1</v>
      </c>
      <c r="E460" s="25">
        <v>0</v>
      </c>
      <c r="F460" s="25">
        <f t="shared" si="7"/>
        <v>1</v>
      </c>
      <c r="G460" s="25"/>
    </row>
    <row r="461" spans="1:7">
      <c r="A461" s="159" t="s">
        <v>876</v>
      </c>
      <c r="B461" s="159" t="s">
        <v>631</v>
      </c>
      <c r="C461" s="159" t="s">
        <v>282</v>
      </c>
      <c r="D461" s="25">
        <v>533000</v>
      </c>
      <c r="E461" s="25">
        <v>171861</v>
      </c>
      <c r="F461" s="25">
        <f t="shared" si="7"/>
        <v>361139</v>
      </c>
      <c r="G461" s="25"/>
    </row>
    <row r="462" spans="1:7">
      <c r="A462" s="159" t="s">
        <v>877</v>
      </c>
      <c r="B462" s="159" t="s">
        <v>631</v>
      </c>
      <c r="C462" s="159" t="s">
        <v>282</v>
      </c>
      <c r="D462" s="25">
        <v>1</v>
      </c>
      <c r="E462" s="25">
        <v>0</v>
      </c>
      <c r="F462" s="25">
        <f t="shared" si="7"/>
        <v>1</v>
      </c>
      <c r="G462" s="25"/>
    </row>
    <row r="463" spans="1:7">
      <c r="A463" s="159" t="s">
        <v>878</v>
      </c>
      <c r="B463" s="159" t="s">
        <v>631</v>
      </c>
      <c r="C463" s="159" t="s">
        <v>284</v>
      </c>
      <c r="D463" s="25">
        <v>277000</v>
      </c>
      <c r="E463" s="25">
        <v>60294</v>
      </c>
      <c r="F463" s="25">
        <f t="shared" si="7"/>
        <v>216706</v>
      </c>
      <c r="G463" s="25"/>
    </row>
    <row r="464" spans="1:7">
      <c r="A464" s="159" t="s">
        <v>879</v>
      </c>
      <c r="B464" s="159" t="s">
        <v>631</v>
      </c>
      <c r="C464" s="159" t="s">
        <v>284</v>
      </c>
      <c r="D464" s="25">
        <v>268000</v>
      </c>
      <c r="E464" s="25">
        <v>58331</v>
      </c>
      <c r="F464" s="25">
        <f t="shared" si="7"/>
        <v>209669</v>
      </c>
      <c r="G464" s="25"/>
    </row>
    <row r="465" spans="1:7">
      <c r="A465" s="159" t="s">
        <v>880</v>
      </c>
      <c r="B465" s="159" t="s">
        <v>631</v>
      </c>
      <c r="C465" s="159" t="s">
        <v>287</v>
      </c>
      <c r="D465" s="25">
        <v>87000</v>
      </c>
      <c r="E465" s="25">
        <v>28060</v>
      </c>
      <c r="F465" s="25">
        <f t="shared" si="7"/>
        <v>58940</v>
      </c>
      <c r="G465" s="25"/>
    </row>
    <row r="466" spans="1:7">
      <c r="A466" s="159" t="s">
        <v>881</v>
      </c>
      <c r="B466" s="159" t="s">
        <v>631</v>
      </c>
      <c r="C466" s="159" t="s">
        <v>882</v>
      </c>
      <c r="D466" s="25">
        <v>98000</v>
      </c>
      <c r="E466" s="25">
        <v>31599</v>
      </c>
      <c r="F466" s="25">
        <f t="shared" si="7"/>
        <v>66401</v>
      </c>
      <c r="G466" s="25"/>
    </row>
    <row r="467" spans="1:7">
      <c r="A467" s="159" t="s">
        <v>883</v>
      </c>
      <c r="B467" s="159" t="s">
        <v>631</v>
      </c>
      <c r="C467" s="159" t="s">
        <v>882</v>
      </c>
      <c r="D467" s="25">
        <v>1</v>
      </c>
      <c r="E467" s="25">
        <v>0</v>
      </c>
      <c r="F467" s="25">
        <f t="shared" si="7"/>
        <v>1</v>
      </c>
      <c r="G467" s="25"/>
    </row>
    <row r="468" spans="1:7">
      <c r="A468" s="159" t="s">
        <v>884</v>
      </c>
      <c r="B468" s="159" t="s">
        <v>631</v>
      </c>
      <c r="C468" s="159" t="s">
        <v>289</v>
      </c>
      <c r="D468" s="25">
        <v>14000</v>
      </c>
      <c r="E468" s="25">
        <v>4521</v>
      </c>
      <c r="F468" s="25">
        <f t="shared" si="7"/>
        <v>9479</v>
      </c>
      <c r="G468" s="25"/>
    </row>
    <row r="469" spans="1:7">
      <c r="A469" s="159" t="s">
        <v>885</v>
      </c>
      <c r="B469" s="159" t="s">
        <v>631</v>
      </c>
      <c r="C469" s="159" t="s">
        <v>289</v>
      </c>
      <c r="D469" s="25">
        <v>1</v>
      </c>
      <c r="E469" s="25">
        <v>0</v>
      </c>
      <c r="F469" s="25">
        <f t="shared" si="7"/>
        <v>1</v>
      </c>
      <c r="G469" s="25"/>
    </row>
    <row r="470" spans="1:7">
      <c r="A470" s="159" t="s">
        <v>886</v>
      </c>
      <c r="B470" s="159" t="s">
        <v>631</v>
      </c>
      <c r="C470" s="159" t="s">
        <v>289</v>
      </c>
      <c r="D470" s="25">
        <v>95000</v>
      </c>
      <c r="E470" s="25">
        <v>30632</v>
      </c>
      <c r="F470" s="25">
        <f t="shared" si="7"/>
        <v>64368</v>
      </c>
      <c r="G470" s="25"/>
    </row>
    <row r="471" spans="1:7">
      <c r="A471" s="159" t="s">
        <v>887</v>
      </c>
      <c r="B471" s="159" t="s">
        <v>631</v>
      </c>
      <c r="C471" s="159" t="s">
        <v>289</v>
      </c>
      <c r="D471" s="25">
        <v>1</v>
      </c>
      <c r="E471" s="25">
        <v>0</v>
      </c>
      <c r="F471" s="25">
        <f t="shared" si="7"/>
        <v>1</v>
      </c>
      <c r="G471" s="25"/>
    </row>
    <row r="472" spans="1:7">
      <c r="A472" s="159" t="s">
        <v>888</v>
      </c>
      <c r="B472" s="159" t="s">
        <v>631</v>
      </c>
      <c r="C472" s="159" t="s">
        <v>293</v>
      </c>
      <c r="D472" s="25">
        <v>38000</v>
      </c>
      <c r="E472" s="25">
        <v>12245</v>
      </c>
      <c r="F472" s="25">
        <f t="shared" si="7"/>
        <v>25755</v>
      </c>
      <c r="G472" s="25"/>
    </row>
    <row r="473" spans="1:7">
      <c r="A473" s="159" t="s">
        <v>889</v>
      </c>
      <c r="B473" s="159" t="s">
        <v>631</v>
      </c>
      <c r="C473" s="159" t="s">
        <v>293</v>
      </c>
      <c r="D473" s="25">
        <v>1</v>
      </c>
      <c r="E473" s="25">
        <v>0</v>
      </c>
      <c r="F473" s="25">
        <f t="shared" si="7"/>
        <v>1</v>
      </c>
      <c r="G473" s="25"/>
    </row>
    <row r="474" spans="1:7">
      <c r="A474" s="159" t="s">
        <v>890</v>
      </c>
      <c r="B474" s="159" t="s">
        <v>631</v>
      </c>
      <c r="C474" s="159" t="s">
        <v>295</v>
      </c>
      <c r="D474" s="25">
        <v>160000</v>
      </c>
      <c r="E474" s="25">
        <v>51598</v>
      </c>
      <c r="F474" s="25">
        <f t="shared" si="7"/>
        <v>108402</v>
      </c>
      <c r="G474" s="25"/>
    </row>
    <row r="475" spans="1:7">
      <c r="A475" s="159" t="s">
        <v>891</v>
      </c>
      <c r="B475" s="159" t="s">
        <v>631</v>
      </c>
      <c r="C475" s="159" t="s">
        <v>295</v>
      </c>
      <c r="D475" s="25">
        <v>1</v>
      </c>
      <c r="E475" s="25">
        <v>0</v>
      </c>
      <c r="F475" s="25">
        <f t="shared" si="7"/>
        <v>1</v>
      </c>
      <c r="G475" s="25"/>
    </row>
    <row r="476" spans="1:7">
      <c r="A476" s="159" t="s">
        <v>892</v>
      </c>
      <c r="B476" s="159" t="s">
        <v>631</v>
      </c>
      <c r="C476" s="159" t="s">
        <v>297</v>
      </c>
      <c r="D476" s="25">
        <v>106000</v>
      </c>
      <c r="E476" s="25">
        <v>23076</v>
      </c>
      <c r="F476" s="25">
        <f t="shared" si="7"/>
        <v>82924</v>
      </c>
      <c r="G476" s="25"/>
    </row>
    <row r="477" spans="1:7">
      <c r="A477" s="159" t="s">
        <v>893</v>
      </c>
      <c r="B477" s="159" t="s">
        <v>631</v>
      </c>
      <c r="C477" s="159" t="s">
        <v>894</v>
      </c>
      <c r="D477" s="25">
        <v>3085000</v>
      </c>
      <c r="E477" s="25">
        <v>994740</v>
      </c>
      <c r="F477" s="25">
        <f t="shared" si="7"/>
        <v>2090260</v>
      </c>
      <c r="G477" s="25"/>
    </row>
    <row r="478" spans="1:7">
      <c r="A478" s="159" t="s">
        <v>895</v>
      </c>
      <c r="B478" s="159" t="s">
        <v>631</v>
      </c>
      <c r="C478" s="159" t="s">
        <v>894</v>
      </c>
      <c r="D478" s="25">
        <v>1</v>
      </c>
      <c r="E478" s="25">
        <v>0</v>
      </c>
      <c r="F478" s="25">
        <f t="shared" si="7"/>
        <v>1</v>
      </c>
      <c r="G478" s="25"/>
    </row>
    <row r="479" spans="1:7">
      <c r="A479" s="159" t="s">
        <v>896</v>
      </c>
      <c r="B479" s="159" t="s">
        <v>631</v>
      </c>
      <c r="C479" s="159" t="s">
        <v>301</v>
      </c>
      <c r="D479" s="25">
        <v>313000</v>
      </c>
      <c r="E479" s="25">
        <v>47508</v>
      </c>
      <c r="F479" s="25">
        <f t="shared" si="7"/>
        <v>265492</v>
      </c>
      <c r="G479" s="25"/>
    </row>
    <row r="480" spans="1:7">
      <c r="A480" s="159" t="s">
        <v>897</v>
      </c>
      <c r="B480" s="159" t="s">
        <v>631</v>
      </c>
      <c r="C480" s="159" t="s">
        <v>301</v>
      </c>
      <c r="D480" s="25">
        <v>1</v>
      </c>
      <c r="E480" s="25">
        <v>0</v>
      </c>
      <c r="F480" s="25">
        <f t="shared" si="7"/>
        <v>1</v>
      </c>
      <c r="G480" s="25"/>
    </row>
    <row r="481" spans="1:7">
      <c r="A481" s="159" t="s">
        <v>898</v>
      </c>
      <c r="B481" s="159" t="s">
        <v>631</v>
      </c>
      <c r="C481" s="159" t="s">
        <v>301</v>
      </c>
      <c r="D481" s="25">
        <v>156000</v>
      </c>
      <c r="E481" s="25">
        <v>23681</v>
      </c>
      <c r="F481" s="25">
        <f t="shared" si="7"/>
        <v>132319</v>
      </c>
      <c r="G481" s="25"/>
    </row>
    <row r="482" spans="1:7">
      <c r="A482" s="159" t="s">
        <v>899</v>
      </c>
      <c r="B482" s="159" t="s">
        <v>631</v>
      </c>
      <c r="C482" s="159" t="s">
        <v>301</v>
      </c>
      <c r="D482" s="25">
        <v>1</v>
      </c>
      <c r="E482" s="25">
        <v>0</v>
      </c>
      <c r="F482" s="25">
        <f t="shared" si="7"/>
        <v>1</v>
      </c>
      <c r="G482" s="25"/>
    </row>
    <row r="483" spans="1:7">
      <c r="A483" s="159" t="s">
        <v>900</v>
      </c>
      <c r="B483" s="159" t="s">
        <v>631</v>
      </c>
      <c r="C483" s="159" t="s">
        <v>301</v>
      </c>
      <c r="D483" s="25">
        <v>9000</v>
      </c>
      <c r="E483" s="25">
        <v>1366</v>
      </c>
      <c r="F483" s="25">
        <f t="shared" si="7"/>
        <v>7634</v>
      </c>
      <c r="G483" s="25"/>
    </row>
    <row r="484" spans="1:7">
      <c r="A484" s="159" t="s">
        <v>901</v>
      </c>
      <c r="B484" s="159" t="s">
        <v>631</v>
      </c>
      <c r="C484" s="159" t="s">
        <v>305</v>
      </c>
      <c r="D484" s="25">
        <v>1183000</v>
      </c>
      <c r="E484" s="25">
        <v>381441</v>
      </c>
      <c r="F484" s="25">
        <f t="shared" si="7"/>
        <v>801559</v>
      </c>
      <c r="G484" s="25"/>
    </row>
    <row r="485" spans="1:7">
      <c r="A485" s="159" t="s">
        <v>902</v>
      </c>
      <c r="B485" s="159" t="s">
        <v>631</v>
      </c>
      <c r="C485" s="159" t="s">
        <v>305</v>
      </c>
      <c r="D485" s="25">
        <v>1</v>
      </c>
      <c r="E485" s="25">
        <v>0</v>
      </c>
      <c r="F485" s="25">
        <f t="shared" si="7"/>
        <v>1</v>
      </c>
      <c r="G485" s="25"/>
    </row>
    <row r="486" spans="1:7">
      <c r="A486" s="159" t="s">
        <v>903</v>
      </c>
      <c r="B486" s="159" t="s">
        <v>631</v>
      </c>
      <c r="C486" s="159" t="s">
        <v>904</v>
      </c>
      <c r="D486" s="25">
        <v>508000</v>
      </c>
      <c r="E486" s="25">
        <v>163800</v>
      </c>
      <c r="F486" s="25">
        <f t="shared" si="7"/>
        <v>344200</v>
      </c>
      <c r="G486" s="25"/>
    </row>
    <row r="487" spans="1:7">
      <c r="A487" s="159" t="s">
        <v>905</v>
      </c>
      <c r="B487" s="159" t="s">
        <v>631</v>
      </c>
      <c r="C487" s="159" t="s">
        <v>904</v>
      </c>
      <c r="D487" s="25">
        <v>1</v>
      </c>
      <c r="E487" s="25">
        <v>0</v>
      </c>
      <c r="F487" s="25">
        <f t="shared" si="7"/>
        <v>1</v>
      </c>
      <c r="G487" s="25"/>
    </row>
    <row r="488" spans="1:7">
      <c r="A488" s="159" t="s">
        <v>906</v>
      </c>
      <c r="B488" s="159" t="s">
        <v>631</v>
      </c>
      <c r="C488" s="159" t="s">
        <v>907</v>
      </c>
      <c r="D488" s="25">
        <v>505000</v>
      </c>
      <c r="E488" s="25">
        <v>162840</v>
      </c>
      <c r="F488" s="25">
        <f t="shared" si="7"/>
        <v>342160</v>
      </c>
      <c r="G488" s="25"/>
    </row>
    <row r="489" spans="1:7">
      <c r="A489" s="159" t="s">
        <v>908</v>
      </c>
      <c r="B489" s="159" t="s">
        <v>631</v>
      </c>
      <c r="C489" s="159" t="s">
        <v>907</v>
      </c>
      <c r="D489" s="25">
        <v>1</v>
      </c>
      <c r="E489" s="25">
        <v>0</v>
      </c>
      <c r="F489" s="25">
        <f t="shared" si="7"/>
        <v>1</v>
      </c>
      <c r="G489" s="25"/>
    </row>
    <row r="490" spans="1:7">
      <c r="A490" s="159" t="s">
        <v>909</v>
      </c>
      <c r="B490" s="159" t="s">
        <v>631</v>
      </c>
      <c r="C490" s="159" t="s">
        <v>910</v>
      </c>
      <c r="D490" s="25">
        <v>1</v>
      </c>
      <c r="E490" s="25">
        <v>0</v>
      </c>
      <c r="F490" s="25">
        <f t="shared" si="7"/>
        <v>1</v>
      </c>
      <c r="G490" s="25"/>
    </row>
    <row r="491" spans="1:7">
      <c r="A491" s="159" t="s">
        <v>911</v>
      </c>
      <c r="B491" s="159" t="s">
        <v>631</v>
      </c>
      <c r="C491" s="159" t="s">
        <v>912</v>
      </c>
      <c r="D491" s="25">
        <v>510000</v>
      </c>
      <c r="E491" s="25">
        <v>164445</v>
      </c>
      <c r="F491" s="25">
        <f t="shared" si="7"/>
        <v>345555</v>
      </c>
      <c r="G491" s="25"/>
    </row>
    <row r="492" spans="1:7">
      <c r="A492" s="159" t="s">
        <v>913</v>
      </c>
      <c r="B492" s="159" t="s">
        <v>631</v>
      </c>
      <c r="C492" s="159" t="s">
        <v>912</v>
      </c>
      <c r="D492" s="25">
        <v>1</v>
      </c>
      <c r="E492" s="25">
        <v>0</v>
      </c>
      <c r="F492" s="25">
        <f t="shared" si="7"/>
        <v>1</v>
      </c>
      <c r="G492" s="25"/>
    </row>
    <row r="493" spans="1:7">
      <c r="A493" s="159" t="s">
        <v>914</v>
      </c>
      <c r="B493" s="159" t="s">
        <v>631</v>
      </c>
      <c r="C493" s="159" t="s">
        <v>315</v>
      </c>
      <c r="D493" s="25">
        <v>202000</v>
      </c>
      <c r="E493" s="25">
        <v>43960</v>
      </c>
      <c r="F493" s="25">
        <f t="shared" si="7"/>
        <v>158040</v>
      </c>
      <c r="G493" s="25"/>
    </row>
    <row r="494" spans="1:7">
      <c r="A494" s="159" t="s">
        <v>915</v>
      </c>
      <c r="B494" s="159" t="s">
        <v>631</v>
      </c>
      <c r="C494" s="159" t="s">
        <v>319</v>
      </c>
      <c r="D494" s="25">
        <v>133000</v>
      </c>
      <c r="E494" s="25">
        <v>42892</v>
      </c>
      <c r="F494" s="25">
        <f t="shared" si="7"/>
        <v>90108</v>
      </c>
      <c r="G494" s="25"/>
    </row>
    <row r="495" spans="1:7">
      <c r="A495" s="159" t="s">
        <v>916</v>
      </c>
      <c r="B495" s="159" t="s">
        <v>631</v>
      </c>
      <c r="C495" s="159" t="s">
        <v>319</v>
      </c>
      <c r="D495" s="25">
        <v>1</v>
      </c>
      <c r="E495" s="25">
        <v>0</v>
      </c>
      <c r="F495" s="25">
        <f t="shared" si="7"/>
        <v>1</v>
      </c>
      <c r="G495" s="25"/>
    </row>
    <row r="496" spans="1:7">
      <c r="A496" s="159" t="s">
        <v>917</v>
      </c>
      <c r="B496" s="159" t="s">
        <v>631</v>
      </c>
      <c r="C496" s="159" t="s">
        <v>319</v>
      </c>
      <c r="D496" s="25">
        <v>43000</v>
      </c>
      <c r="E496" s="25">
        <v>13865</v>
      </c>
      <c r="F496" s="25">
        <f t="shared" si="7"/>
        <v>29135</v>
      </c>
      <c r="G496" s="25"/>
    </row>
    <row r="497" spans="1:7">
      <c r="A497" s="159" t="s">
        <v>918</v>
      </c>
      <c r="B497" s="159" t="s">
        <v>631</v>
      </c>
      <c r="C497" s="159" t="s">
        <v>319</v>
      </c>
      <c r="D497" s="25">
        <v>1</v>
      </c>
      <c r="E497" s="25">
        <v>0</v>
      </c>
      <c r="F497" s="25">
        <f t="shared" si="7"/>
        <v>1</v>
      </c>
      <c r="G497" s="25"/>
    </row>
    <row r="498" spans="1:7">
      <c r="A498" s="159" t="s">
        <v>919</v>
      </c>
      <c r="B498" s="159" t="s">
        <v>631</v>
      </c>
      <c r="C498" s="159" t="s">
        <v>319</v>
      </c>
      <c r="D498" s="25">
        <v>200000</v>
      </c>
      <c r="E498" s="25">
        <v>64481</v>
      </c>
      <c r="F498" s="25">
        <f t="shared" si="7"/>
        <v>135519</v>
      </c>
      <c r="G498" s="25"/>
    </row>
    <row r="499" spans="1:7">
      <c r="A499" s="159" t="s">
        <v>920</v>
      </c>
      <c r="B499" s="159" t="s">
        <v>631</v>
      </c>
      <c r="C499" s="159" t="s">
        <v>319</v>
      </c>
      <c r="D499" s="25">
        <v>1</v>
      </c>
      <c r="E499" s="25">
        <v>0</v>
      </c>
      <c r="F499" s="25">
        <f t="shared" si="7"/>
        <v>1</v>
      </c>
      <c r="G499" s="25"/>
    </row>
    <row r="500" spans="1:7">
      <c r="A500" s="159" t="s">
        <v>921</v>
      </c>
      <c r="B500" s="159" t="s">
        <v>631</v>
      </c>
      <c r="C500" s="159" t="s">
        <v>319</v>
      </c>
      <c r="D500" s="25">
        <v>160000</v>
      </c>
      <c r="E500" s="25">
        <v>51598</v>
      </c>
      <c r="F500" s="25">
        <f t="shared" si="7"/>
        <v>108402</v>
      </c>
      <c r="G500" s="25"/>
    </row>
    <row r="501" spans="1:7">
      <c r="A501" s="159" t="s">
        <v>922</v>
      </c>
      <c r="B501" s="159" t="s">
        <v>631</v>
      </c>
      <c r="C501" s="159" t="s">
        <v>319</v>
      </c>
      <c r="D501" s="25">
        <v>1</v>
      </c>
      <c r="E501" s="25">
        <v>0</v>
      </c>
      <c r="F501" s="25">
        <f t="shared" si="7"/>
        <v>1</v>
      </c>
      <c r="G501" s="25"/>
    </row>
    <row r="502" spans="1:7">
      <c r="A502" s="159" t="s">
        <v>923</v>
      </c>
      <c r="B502" s="159" t="s">
        <v>631</v>
      </c>
      <c r="C502" s="159" t="s">
        <v>319</v>
      </c>
      <c r="D502" s="25">
        <v>48000</v>
      </c>
      <c r="E502" s="25">
        <v>15477</v>
      </c>
      <c r="F502" s="25">
        <f t="shared" si="7"/>
        <v>32523</v>
      </c>
      <c r="G502" s="25"/>
    </row>
    <row r="503" spans="1:7">
      <c r="A503" s="159" t="s">
        <v>924</v>
      </c>
      <c r="B503" s="159" t="s">
        <v>631</v>
      </c>
      <c r="C503" s="159" t="s">
        <v>319</v>
      </c>
      <c r="D503" s="25">
        <v>1</v>
      </c>
      <c r="E503" s="25">
        <v>0</v>
      </c>
      <c r="F503" s="25">
        <f t="shared" si="7"/>
        <v>1</v>
      </c>
      <c r="G503" s="25"/>
    </row>
    <row r="504" spans="1:7">
      <c r="A504" s="159" t="s">
        <v>925</v>
      </c>
      <c r="B504" s="159" t="s">
        <v>631</v>
      </c>
      <c r="C504" s="159" t="s">
        <v>319</v>
      </c>
      <c r="D504" s="25">
        <v>24000</v>
      </c>
      <c r="E504" s="25">
        <v>7738</v>
      </c>
      <c r="F504" s="25">
        <f t="shared" si="7"/>
        <v>16262</v>
      </c>
      <c r="G504" s="25"/>
    </row>
    <row r="505" spans="1:7">
      <c r="A505" s="159" t="s">
        <v>926</v>
      </c>
      <c r="B505" s="159" t="s">
        <v>631</v>
      </c>
      <c r="C505" s="159" t="s">
        <v>319</v>
      </c>
      <c r="D505" s="25">
        <v>1</v>
      </c>
      <c r="E505" s="25">
        <v>0</v>
      </c>
      <c r="F505" s="25">
        <f t="shared" si="7"/>
        <v>1</v>
      </c>
      <c r="G505" s="25"/>
    </row>
    <row r="506" spans="1:7">
      <c r="A506" s="159" t="s">
        <v>927</v>
      </c>
      <c r="B506" s="159" t="s">
        <v>631</v>
      </c>
      <c r="C506" s="159" t="s">
        <v>319</v>
      </c>
      <c r="D506" s="25">
        <v>6000</v>
      </c>
      <c r="E506" s="25">
        <v>1927</v>
      </c>
      <c r="F506" s="25">
        <f t="shared" si="7"/>
        <v>4073</v>
      </c>
      <c r="G506" s="25"/>
    </row>
    <row r="507" spans="1:7">
      <c r="A507" s="159" t="s">
        <v>928</v>
      </c>
      <c r="B507" s="159" t="s">
        <v>631</v>
      </c>
      <c r="C507" s="159" t="s">
        <v>319</v>
      </c>
      <c r="D507" s="25">
        <v>1</v>
      </c>
      <c r="E507" s="25">
        <v>0</v>
      </c>
      <c r="F507" s="25">
        <f t="shared" si="7"/>
        <v>1</v>
      </c>
      <c r="G507" s="25"/>
    </row>
    <row r="508" spans="1:7">
      <c r="A508" s="159" t="s">
        <v>929</v>
      </c>
      <c r="B508" s="159" t="s">
        <v>631</v>
      </c>
      <c r="C508" s="159" t="s">
        <v>319</v>
      </c>
      <c r="D508" s="25">
        <v>25000</v>
      </c>
      <c r="E508" s="25">
        <v>8061</v>
      </c>
      <c r="F508" s="25">
        <f t="shared" si="7"/>
        <v>16939</v>
      </c>
      <c r="G508" s="25"/>
    </row>
    <row r="509" spans="1:7">
      <c r="A509" s="159" t="s">
        <v>930</v>
      </c>
      <c r="B509" s="159" t="s">
        <v>631</v>
      </c>
      <c r="C509" s="159" t="s">
        <v>319</v>
      </c>
      <c r="D509" s="25">
        <v>1</v>
      </c>
      <c r="E509" s="25">
        <v>0</v>
      </c>
      <c r="F509" s="25">
        <f t="shared" si="7"/>
        <v>1</v>
      </c>
      <c r="G509" s="25"/>
    </row>
    <row r="510" spans="1:7">
      <c r="A510" s="159" t="s">
        <v>931</v>
      </c>
      <c r="B510" s="159" t="s">
        <v>631</v>
      </c>
      <c r="C510" s="159" t="s">
        <v>932</v>
      </c>
      <c r="D510" s="25">
        <v>2740000</v>
      </c>
      <c r="E510" s="25">
        <v>883490</v>
      </c>
      <c r="F510" s="25">
        <f t="shared" si="7"/>
        <v>1856510</v>
      </c>
      <c r="G510" s="25"/>
    </row>
    <row r="511" spans="1:7">
      <c r="A511" s="159" t="s">
        <v>933</v>
      </c>
      <c r="B511" s="159" t="s">
        <v>631</v>
      </c>
      <c r="C511" s="159" t="s">
        <v>932</v>
      </c>
      <c r="D511" s="25">
        <v>1</v>
      </c>
      <c r="E511" s="25">
        <v>0</v>
      </c>
      <c r="F511" s="25">
        <f t="shared" si="7"/>
        <v>1</v>
      </c>
      <c r="G511" s="25"/>
    </row>
    <row r="512" spans="1:7">
      <c r="A512" s="159" t="s">
        <v>934</v>
      </c>
      <c r="B512" s="159" t="s">
        <v>631</v>
      </c>
      <c r="C512" s="159" t="s">
        <v>935</v>
      </c>
      <c r="D512" s="25">
        <v>1025000</v>
      </c>
      <c r="E512" s="25">
        <v>330503</v>
      </c>
      <c r="F512" s="25">
        <f t="shared" si="7"/>
        <v>694497</v>
      </c>
      <c r="G512" s="25"/>
    </row>
    <row r="513" spans="1:7">
      <c r="A513" s="159" t="s">
        <v>936</v>
      </c>
      <c r="B513" s="159" t="s">
        <v>631</v>
      </c>
      <c r="C513" s="159" t="s">
        <v>935</v>
      </c>
      <c r="D513" s="25">
        <v>1</v>
      </c>
      <c r="E513" s="25">
        <v>0</v>
      </c>
      <c r="F513" s="25">
        <f t="shared" si="7"/>
        <v>1</v>
      </c>
      <c r="G513" s="25"/>
    </row>
    <row r="514" spans="1:7">
      <c r="A514" s="159" t="s">
        <v>937</v>
      </c>
      <c r="B514" s="159" t="s">
        <v>631</v>
      </c>
      <c r="C514" s="159" t="s">
        <v>331</v>
      </c>
      <c r="D514" s="25">
        <v>765000</v>
      </c>
      <c r="E514" s="25">
        <v>86020</v>
      </c>
      <c r="F514" s="25">
        <f t="shared" si="7"/>
        <v>678980</v>
      </c>
      <c r="G514" s="25"/>
    </row>
    <row r="515" spans="1:7">
      <c r="A515" s="159" t="s">
        <v>938</v>
      </c>
      <c r="B515" s="159" t="s">
        <v>631</v>
      </c>
      <c r="C515" s="159" t="s">
        <v>331</v>
      </c>
      <c r="D515" s="25">
        <v>1</v>
      </c>
      <c r="E515" s="25">
        <v>0</v>
      </c>
      <c r="F515" s="25">
        <f t="shared" si="7"/>
        <v>1</v>
      </c>
      <c r="G515" s="25"/>
    </row>
    <row r="516" spans="1:7">
      <c r="A516" s="159" t="s">
        <v>939</v>
      </c>
      <c r="B516" s="159" t="s">
        <v>631</v>
      </c>
      <c r="C516" s="159" t="s">
        <v>333</v>
      </c>
      <c r="D516" s="25">
        <v>2115000</v>
      </c>
      <c r="E516" s="25">
        <v>681964</v>
      </c>
      <c r="F516" s="25">
        <f t="shared" ref="F516:F579" si="8">D516-E516</f>
        <v>1433036</v>
      </c>
      <c r="G516" s="25"/>
    </row>
    <row r="517" spans="1:7">
      <c r="A517" s="159" t="s">
        <v>940</v>
      </c>
      <c r="B517" s="159" t="s">
        <v>631</v>
      </c>
      <c r="C517" s="159" t="s">
        <v>331</v>
      </c>
      <c r="D517" s="25">
        <v>1</v>
      </c>
      <c r="E517" s="25">
        <v>0</v>
      </c>
      <c r="F517" s="25">
        <f t="shared" si="8"/>
        <v>1</v>
      </c>
      <c r="G517" s="25"/>
    </row>
    <row r="518" spans="1:7">
      <c r="A518" s="159" t="s">
        <v>941</v>
      </c>
      <c r="B518" s="159" t="s">
        <v>631</v>
      </c>
      <c r="C518" s="159" t="s">
        <v>942</v>
      </c>
      <c r="D518" s="25">
        <v>633000</v>
      </c>
      <c r="E518" s="25">
        <v>204106</v>
      </c>
      <c r="F518" s="25">
        <f t="shared" si="8"/>
        <v>428894</v>
      </c>
      <c r="G518" s="25"/>
    </row>
    <row r="519" spans="1:7">
      <c r="A519" s="159" t="s">
        <v>943</v>
      </c>
      <c r="B519" s="159" t="s">
        <v>631</v>
      </c>
      <c r="C519" s="159" t="s">
        <v>942</v>
      </c>
      <c r="D519" s="25">
        <v>1</v>
      </c>
      <c r="E519" s="25">
        <v>0</v>
      </c>
      <c r="F519" s="25">
        <f t="shared" si="8"/>
        <v>1</v>
      </c>
      <c r="G519" s="25"/>
    </row>
    <row r="520" spans="1:7">
      <c r="A520" s="159" t="s">
        <v>944</v>
      </c>
      <c r="B520" s="159" t="s">
        <v>631</v>
      </c>
      <c r="C520" s="159" t="s">
        <v>945</v>
      </c>
      <c r="D520" s="25">
        <v>1988000</v>
      </c>
      <c r="E520" s="25">
        <v>641021</v>
      </c>
      <c r="F520" s="25">
        <f t="shared" si="8"/>
        <v>1346979</v>
      </c>
      <c r="G520" s="25"/>
    </row>
    <row r="521" spans="1:7">
      <c r="A521" s="159" t="s">
        <v>946</v>
      </c>
      <c r="B521" s="159" t="s">
        <v>631</v>
      </c>
      <c r="C521" s="159" t="s">
        <v>945</v>
      </c>
      <c r="D521" s="25">
        <v>1</v>
      </c>
      <c r="E521" s="25">
        <v>0</v>
      </c>
      <c r="F521" s="25">
        <f t="shared" si="8"/>
        <v>1</v>
      </c>
      <c r="G521" s="25"/>
    </row>
    <row r="522" spans="1:7">
      <c r="A522" s="159" t="s">
        <v>947</v>
      </c>
      <c r="B522" s="159" t="s">
        <v>631</v>
      </c>
      <c r="C522" s="159" t="s">
        <v>339</v>
      </c>
      <c r="D522" s="25">
        <v>156000</v>
      </c>
      <c r="E522" s="25">
        <v>23681</v>
      </c>
      <c r="F522" s="25">
        <f t="shared" si="8"/>
        <v>132319</v>
      </c>
      <c r="G522" s="25"/>
    </row>
    <row r="523" spans="1:7">
      <c r="A523" s="159" t="s">
        <v>948</v>
      </c>
      <c r="B523" s="159" t="s">
        <v>631</v>
      </c>
      <c r="C523" s="159" t="s">
        <v>339</v>
      </c>
      <c r="D523" s="25">
        <v>1</v>
      </c>
      <c r="E523" s="25">
        <v>0</v>
      </c>
      <c r="F523" s="25">
        <f t="shared" si="8"/>
        <v>1</v>
      </c>
      <c r="G523" s="25"/>
    </row>
    <row r="524" spans="1:7">
      <c r="A524" s="159" t="s">
        <v>949</v>
      </c>
      <c r="B524" s="159" t="s">
        <v>631</v>
      </c>
      <c r="C524" s="159" t="s">
        <v>339</v>
      </c>
      <c r="D524" s="25">
        <v>625000</v>
      </c>
      <c r="E524" s="25">
        <v>94866</v>
      </c>
      <c r="F524" s="25">
        <f t="shared" si="8"/>
        <v>530134</v>
      </c>
      <c r="G524" s="25"/>
    </row>
    <row r="525" spans="1:7">
      <c r="A525" s="159" t="s">
        <v>950</v>
      </c>
      <c r="B525" s="159" t="s">
        <v>631</v>
      </c>
      <c r="C525" s="159" t="s">
        <v>339</v>
      </c>
      <c r="D525" s="25">
        <v>1</v>
      </c>
      <c r="E525" s="25">
        <v>0</v>
      </c>
      <c r="F525" s="25">
        <f t="shared" si="8"/>
        <v>1</v>
      </c>
      <c r="G525" s="25"/>
    </row>
    <row r="526" spans="1:7">
      <c r="A526" s="159" t="s">
        <v>951</v>
      </c>
      <c r="B526" s="159" t="s">
        <v>631</v>
      </c>
      <c r="C526" s="159" t="s">
        <v>342</v>
      </c>
      <c r="D526" s="25">
        <v>938000</v>
      </c>
      <c r="E526" s="25">
        <v>142377</v>
      </c>
      <c r="F526" s="25">
        <f t="shared" si="8"/>
        <v>795623</v>
      </c>
      <c r="G526" s="25"/>
    </row>
    <row r="527" spans="1:7">
      <c r="A527" s="159" t="s">
        <v>952</v>
      </c>
      <c r="B527" s="159" t="s">
        <v>631</v>
      </c>
      <c r="C527" s="159" t="s">
        <v>342</v>
      </c>
      <c r="D527" s="25">
        <v>1</v>
      </c>
      <c r="E527" s="25">
        <v>0</v>
      </c>
      <c r="F527" s="25">
        <f t="shared" si="8"/>
        <v>1</v>
      </c>
      <c r="G527" s="25"/>
    </row>
    <row r="528" spans="1:7">
      <c r="A528" s="159" t="s">
        <v>953</v>
      </c>
      <c r="B528" s="159" t="s">
        <v>631</v>
      </c>
      <c r="C528" s="159" t="s">
        <v>954</v>
      </c>
      <c r="D528" s="25">
        <v>558000</v>
      </c>
      <c r="E528" s="25">
        <v>179922</v>
      </c>
      <c r="F528" s="25">
        <f t="shared" si="8"/>
        <v>378078</v>
      </c>
      <c r="G528" s="25"/>
    </row>
    <row r="529" spans="1:7">
      <c r="A529" s="159" t="s">
        <v>955</v>
      </c>
      <c r="B529" s="159" t="s">
        <v>631</v>
      </c>
      <c r="C529" s="159" t="s">
        <v>954</v>
      </c>
      <c r="D529" s="25">
        <v>1</v>
      </c>
      <c r="E529" s="25">
        <v>0</v>
      </c>
      <c r="F529" s="25">
        <f t="shared" si="8"/>
        <v>1</v>
      </c>
      <c r="G529" s="25"/>
    </row>
    <row r="530" spans="1:7">
      <c r="A530" s="159" t="s">
        <v>956</v>
      </c>
      <c r="B530" s="159" t="s">
        <v>631</v>
      </c>
      <c r="C530" s="159" t="s">
        <v>346</v>
      </c>
      <c r="D530" s="25">
        <v>558000</v>
      </c>
      <c r="E530" s="25">
        <v>179922</v>
      </c>
      <c r="F530" s="25">
        <f t="shared" si="8"/>
        <v>378078</v>
      </c>
      <c r="G530" s="25"/>
    </row>
    <row r="531" spans="1:7">
      <c r="A531" s="159" t="s">
        <v>957</v>
      </c>
      <c r="B531" s="159" t="s">
        <v>631</v>
      </c>
      <c r="C531" s="159" t="s">
        <v>346</v>
      </c>
      <c r="D531" s="25">
        <v>1</v>
      </c>
      <c r="E531" s="25">
        <v>0</v>
      </c>
      <c r="F531" s="25">
        <f t="shared" si="8"/>
        <v>1</v>
      </c>
      <c r="G531" s="25"/>
    </row>
    <row r="532" spans="1:7">
      <c r="A532" s="159" t="s">
        <v>958</v>
      </c>
      <c r="B532" s="159" t="s">
        <v>631</v>
      </c>
      <c r="C532" s="159" t="s">
        <v>959</v>
      </c>
      <c r="D532" s="25">
        <v>51000</v>
      </c>
      <c r="E532" s="25">
        <v>16445</v>
      </c>
      <c r="F532" s="25">
        <f t="shared" si="8"/>
        <v>34555</v>
      </c>
      <c r="G532" s="25"/>
    </row>
    <row r="533" spans="1:7">
      <c r="A533" s="159" t="s">
        <v>960</v>
      </c>
      <c r="B533" s="159" t="s">
        <v>631</v>
      </c>
      <c r="C533" s="159" t="s">
        <v>959</v>
      </c>
      <c r="D533" s="25">
        <v>1</v>
      </c>
      <c r="E533" s="25">
        <v>0</v>
      </c>
      <c r="F533" s="25">
        <f t="shared" si="8"/>
        <v>1</v>
      </c>
      <c r="G533" s="25"/>
    </row>
    <row r="534" spans="1:7">
      <c r="A534" s="159" t="s">
        <v>961</v>
      </c>
      <c r="B534" s="159" t="s">
        <v>631</v>
      </c>
      <c r="C534" s="159" t="s">
        <v>350</v>
      </c>
      <c r="D534" s="25">
        <v>558000</v>
      </c>
      <c r="E534" s="25">
        <v>179922</v>
      </c>
      <c r="F534" s="25">
        <f t="shared" si="8"/>
        <v>378078</v>
      </c>
      <c r="G534" s="25"/>
    </row>
    <row r="535" spans="1:7">
      <c r="A535" s="159" t="s">
        <v>962</v>
      </c>
      <c r="B535" s="159" t="s">
        <v>631</v>
      </c>
      <c r="C535" s="159" t="s">
        <v>350</v>
      </c>
      <c r="D535" s="25">
        <v>1</v>
      </c>
      <c r="E535" s="25">
        <v>0</v>
      </c>
      <c r="F535" s="25">
        <f t="shared" si="8"/>
        <v>1</v>
      </c>
      <c r="G535" s="25"/>
    </row>
    <row r="536" spans="1:7">
      <c r="A536" s="159" t="s">
        <v>963</v>
      </c>
      <c r="B536" s="159" t="s">
        <v>631</v>
      </c>
      <c r="C536" s="159" t="s">
        <v>352</v>
      </c>
      <c r="D536" s="25">
        <v>573000</v>
      </c>
      <c r="E536" s="25">
        <v>124716</v>
      </c>
      <c r="F536" s="25">
        <f t="shared" si="8"/>
        <v>448284</v>
      </c>
      <c r="G536" s="25"/>
    </row>
    <row r="537" spans="1:7">
      <c r="A537" s="159" t="s">
        <v>964</v>
      </c>
      <c r="B537" s="159" t="s">
        <v>631</v>
      </c>
      <c r="C537" s="159" t="s">
        <v>965</v>
      </c>
      <c r="D537" s="25">
        <v>560000</v>
      </c>
      <c r="E537" s="25">
        <v>180568</v>
      </c>
      <c r="F537" s="25">
        <f t="shared" si="8"/>
        <v>379432</v>
      </c>
      <c r="G537" s="25"/>
    </row>
    <row r="538" spans="1:7">
      <c r="A538" s="159" t="s">
        <v>966</v>
      </c>
      <c r="B538" s="159" t="s">
        <v>631</v>
      </c>
      <c r="C538" s="159" t="s">
        <v>965</v>
      </c>
      <c r="D538" s="25">
        <v>1</v>
      </c>
      <c r="E538" s="25">
        <v>0</v>
      </c>
      <c r="F538" s="25">
        <f t="shared" si="8"/>
        <v>1</v>
      </c>
      <c r="G538" s="25"/>
    </row>
    <row r="539" spans="1:7">
      <c r="A539" s="159" t="s">
        <v>967</v>
      </c>
      <c r="B539" s="159" t="s">
        <v>631</v>
      </c>
      <c r="C539" s="159" t="s">
        <v>968</v>
      </c>
      <c r="D539" s="25">
        <v>1080000</v>
      </c>
      <c r="E539" s="25">
        <v>348244</v>
      </c>
      <c r="F539" s="25">
        <f t="shared" si="8"/>
        <v>731756</v>
      </c>
      <c r="G539" s="25"/>
    </row>
    <row r="540" spans="1:7">
      <c r="A540" s="159" t="s">
        <v>969</v>
      </c>
      <c r="B540" s="159" t="s">
        <v>631</v>
      </c>
      <c r="C540" s="159" t="s">
        <v>968</v>
      </c>
      <c r="D540" s="25">
        <v>1</v>
      </c>
      <c r="E540" s="25">
        <v>0</v>
      </c>
      <c r="F540" s="25">
        <f t="shared" si="8"/>
        <v>1</v>
      </c>
      <c r="G540" s="25"/>
    </row>
    <row r="541" spans="1:7">
      <c r="A541" s="159" t="s">
        <v>970</v>
      </c>
      <c r="B541" s="159" t="s">
        <v>631</v>
      </c>
      <c r="C541" s="159" t="s">
        <v>971</v>
      </c>
      <c r="D541" s="25">
        <v>283000</v>
      </c>
      <c r="E541" s="25">
        <v>91251</v>
      </c>
      <c r="F541" s="25">
        <f t="shared" si="8"/>
        <v>191749</v>
      </c>
      <c r="G541" s="25"/>
    </row>
    <row r="542" spans="1:7">
      <c r="A542" s="159" t="s">
        <v>972</v>
      </c>
      <c r="B542" s="159" t="s">
        <v>631</v>
      </c>
      <c r="C542" s="159" t="s">
        <v>971</v>
      </c>
      <c r="D542" s="25">
        <v>1</v>
      </c>
      <c r="E542" s="25">
        <v>0</v>
      </c>
      <c r="F542" s="25">
        <f t="shared" si="8"/>
        <v>1</v>
      </c>
      <c r="G542" s="25"/>
    </row>
    <row r="543" spans="1:7">
      <c r="A543" s="159" t="s">
        <v>973</v>
      </c>
      <c r="B543" s="159" t="s">
        <v>631</v>
      </c>
      <c r="C543" s="159" t="s">
        <v>360</v>
      </c>
      <c r="D543" s="25">
        <v>145000</v>
      </c>
      <c r="E543" s="25">
        <v>46892</v>
      </c>
      <c r="F543" s="25">
        <f t="shared" si="8"/>
        <v>98108</v>
      </c>
      <c r="G543" s="25"/>
    </row>
    <row r="544" spans="1:7">
      <c r="A544" s="159" t="s">
        <v>974</v>
      </c>
      <c r="B544" s="159" t="s">
        <v>631</v>
      </c>
      <c r="C544" s="159" t="s">
        <v>360</v>
      </c>
      <c r="D544" s="25">
        <v>1</v>
      </c>
      <c r="E544" s="25">
        <v>0</v>
      </c>
      <c r="F544" s="25">
        <f t="shared" si="8"/>
        <v>1</v>
      </c>
      <c r="G544" s="25"/>
    </row>
    <row r="545" spans="1:7">
      <c r="A545" s="159" t="s">
        <v>975</v>
      </c>
      <c r="B545" s="159" t="s">
        <v>631</v>
      </c>
      <c r="C545" s="159" t="s">
        <v>629</v>
      </c>
      <c r="D545" s="25">
        <v>263000</v>
      </c>
      <c r="E545" s="25">
        <v>21404</v>
      </c>
      <c r="F545" s="25">
        <f t="shared" si="8"/>
        <v>241596</v>
      </c>
      <c r="G545" s="25"/>
    </row>
    <row r="546" spans="1:7">
      <c r="A546" s="159" t="s">
        <v>976</v>
      </c>
      <c r="B546" s="159" t="s">
        <v>631</v>
      </c>
      <c r="C546" s="159" t="s">
        <v>362</v>
      </c>
      <c r="D546" s="25">
        <v>1</v>
      </c>
      <c r="E546" s="25">
        <v>0</v>
      </c>
      <c r="F546" s="25">
        <f t="shared" si="8"/>
        <v>1</v>
      </c>
      <c r="G546" s="25"/>
    </row>
    <row r="547" spans="1:7">
      <c r="A547" s="159" t="s">
        <v>977</v>
      </c>
      <c r="B547" s="159" t="s">
        <v>631</v>
      </c>
      <c r="C547" s="159" t="s">
        <v>362</v>
      </c>
      <c r="D547" s="25">
        <v>847000</v>
      </c>
      <c r="E547" s="25">
        <v>247698</v>
      </c>
      <c r="F547" s="25">
        <f t="shared" si="8"/>
        <v>599302</v>
      </c>
      <c r="G547" s="25"/>
    </row>
    <row r="548" spans="1:7">
      <c r="A548" s="159" t="s">
        <v>978</v>
      </c>
      <c r="B548" s="159" t="s">
        <v>631</v>
      </c>
      <c r="C548" s="159" t="s">
        <v>367</v>
      </c>
      <c r="D548" s="25">
        <v>1</v>
      </c>
      <c r="E548" s="25">
        <v>0</v>
      </c>
      <c r="F548" s="25">
        <f t="shared" si="8"/>
        <v>1</v>
      </c>
      <c r="G548" s="25"/>
    </row>
    <row r="549" spans="1:7">
      <c r="A549" s="159" t="s">
        <v>979</v>
      </c>
      <c r="B549" s="159" t="s">
        <v>631</v>
      </c>
      <c r="C549" s="159" t="s">
        <v>367</v>
      </c>
      <c r="D549" s="25">
        <v>428000</v>
      </c>
      <c r="E549" s="25">
        <v>125159</v>
      </c>
      <c r="F549" s="25">
        <f t="shared" si="8"/>
        <v>302841</v>
      </c>
      <c r="G549" s="25"/>
    </row>
    <row r="550" spans="1:7">
      <c r="A550" s="159" t="s">
        <v>980</v>
      </c>
      <c r="B550" s="159" t="s">
        <v>631</v>
      </c>
      <c r="C550" s="159" t="s">
        <v>369</v>
      </c>
      <c r="D550" s="25">
        <v>716000</v>
      </c>
      <c r="E550" s="25">
        <v>209382</v>
      </c>
      <c r="F550" s="25">
        <f t="shared" si="8"/>
        <v>506618</v>
      </c>
      <c r="G550" s="25"/>
    </row>
    <row r="551" spans="1:7">
      <c r="A551" s="159" t="s">
        <v>981</v>
      </c>
      <c r="B551" s="159" t="s">
        <v>631</v>
      </c>
      <c r="C551" s="159" t="s">
        <v>982</v>
      </c>
      <c r="D551" s="25">
        <v>1</v>
      </c>
      <c r="E551" s="25">
        <v>0</v>
      </c>
      <c r="F551" s="25">
        <f t="shared" si="8"/>
        <v>1</v>
      </c>
      <c r="G551" s="25"/>
    </row>
    <row r="552" spans="1:7">
      <c r="A552" s="159" t="s">
        <v>983</v>
      </c>
      <c r="B552" s="159" t="s">
        <v>631</v>
      </c>
      <c r="C552" s="159" t="s">
        <v>982</v>
      </c>
      <c r="D552" s="25">
        <v>68000</v>
      </c>
      <c r="E552" s="25">
        <v>19886</v>
      </c>
      <c r="F552" s="25">
        <f t="shared" si="8"/>
        <v>48114</v>
      </c>
      <c r="G552" s="25"/>
    </row>
    <row r="553" spans="1:7">
      <c r="A553" s="159" t="s">
        <v>984</v>
      </c>
      <c r="B553" s="159" t="s">
        <v>631</v>
      </c>
      <c r="C553" s="159" t="s">
        <v>985</v>
      </c>
      <c r="D553" s="25">
        <v>1388000</v>
      </c>
      <c r="E553" s="25">
        <v>405909</v>
      </c>
      <c r="F553" s="25">
        <f t="shared" si="8"/>
        <v>982091</v>
      </c>
      <c r="G553" s="25"/>
    </row>
    <row r="554" spans="1:7">
      <c r="A554" s="159" t="s">
        <v>986</v>
      </c>
      <c r="B554" s="159" t="s">
        <v>631</v>
      </c>
      <c r="C554" s="159" t="s">
        <v>375</v>
      </c>
      <c r="D554" s="25">
        <v>508000</v>
      </c>
      <c r="E554" s="25">
        <v>110564</v>
      </c>
      <c r="F554" s="25">
        <f t="shared" si="8"/>
        <v>397436</v>
      </c>
      <c r="G554" s="25"/>
    </row>
    <row r="555" spans="1:7">
      <c r="A555" s="159" t="s">
        <v>987</v>
      </c>
      <c r="B555" s="159" t="s">
        <v>631</v>
      </c>
      <c r="C555" s="159" t="s">
        <v>988</v>
      </c>
      <c r="D555" s="25">
        <v>143000</v>
      </c>
      <c r="E555" s="25">
        <v>46109</v>
      </c>
      <c r="F555" s="25">
        <f t="shared" si="8"/>
        <v>96891</v>
      </c>
      <c r="G555" s="25"/>
    </row>
    <row r="556" spans="1:7">
      <c r="A556" s="159" t="s">
        <v>989</v>
      </c>
      <c r="B556" s="159" t="s">
        <v>631</v>
      </c>
      <c r="C556" s="159" t="s">
        <v>988</v>
      </c>
      <c r="D556" s="25">
        <v>1</v>
      </c>
      <c r="E556" s="25">
        <v>0</v>
      </c>
      <c r="F556" s="25">
        <f t="shared" si="8"/>
        <v>1</v>
      </c>
      <c r="G556" s="25"/>
    </row>
    <row r="557" spans="1:7">
      <c r="A557" s="159" t="s">
        <v>990</v>
      </c>
      <c r="B557" s="159" t="s">
        <v>631</v>
      </c>
      <c r="C557" s="159" t="s">
        <v>379</v>
      </c>
      <c r="D557" s="25">
        <v>10000</v>
      </c>
      <c r="E557" s="25">
        <v>3232</v>
      </c>
      <c r="F557" s="25">
        <f t="shared" si="8"/>
        <v>6768</v>
      </c>
      <c r="G557" s="25"/>
    </row>
    <row r="558" spans="1:7">
      <c r="A558" s="159" t="s">
        <v>991</v>
      </c>
      <c r="B558" s="159" t="s">
        <v>631</v>
      </c>
      <c r="C558" s="159" t="s">
        <v>379</v>
      </c>
      <c r="D558" s="25">
        <v>1</v>
      </c>
      <c r="E558" s="25">
        <v>0</v>
      </c>
      <c r="F558" s="25">
        <f t="shared" si="8"/>
        <v>1</v>
      </c>
      <c r="G558" s="25"/>
    </row>
    <row r="559" spans="1:7">
      <c r="A559" s="159" t="s">
        <v>992</v>
      </c>
      <c r="B559" s="159" t="s">
        <v>631</v>
      </c>
      <c r="C559" s="159" t="s">
        <v>379</v>
      </c>
      <c r="D559" s="25">
        <v>3000</v>
      </c>
      <c r="E559" s="25">
        <v>968</v>
      </c>
      <c r="F559" s="25">
        <f t="shared" si="8"/>
        <v>2032</v>
      </c>
      <c r="G559" s="25"/>
    </row>
    <row r="560" spans="1:7">
      <c r="A560" s="159" t="s">
        <v>993</v>
      </c>
      <c r="B560" s="159" t="s">
        <v>631</v>
      </c>
      <c r="C560" s="159" t="s">
        <v>379</v>
      </c>
      <c r="D560" s="25">
        <v>1</v>
      </c>
      <c r="E560" s="25">
        <v>0</v>
      </c>
      <c r="F560" s="25">
        <f t="shared" si="8"/>
        <v>1</v>
      </c>
      <c r="G560" s="25"/>
    </row>
    <row r="561" spans="1:7">
      <c r="A561" s="159" t="s">
        <v>994</v>
      </c>
      <c r="B561" s="159" t="s">
        <v>631</v>
      </c>
      <c r="C561" s="159" t="s">
        <v>995</v>
      </c>
      <c r="D561" s="25">
        <v>300000</v>
      </c>
      <c r="E561" s="25">
        <v>15725</v>
      </c>
      <c r="F561" s="25">
        <f t="shared" si="8"/>
        <v>284275</v>
      </c>
      <c r="G561" s="25"/>
    </row>
    <row r="562" spans="1:7">
      <c r="A562" s="159" t="s">
        <v>996</v>
      </c>
      <c r="B562" s="159" t="s">
        <v>631</v>
      </c>
      <c r="C562" s="159" t="s">
        <v>995</v>
      </c>
      <c r="D562" s="25">
        <v>1</v>
      </c>
      <c r="E562" s="25">
        <v>0</v>
      </c>
      <c r="F562" s="25">
        <f t="shared" si="8"/>
        <v>1</v>
      </c>
      <c r="G562" s="25"/>
    </row>
    <row r="563" spans="1:7">
      <c r="A563" s="159" t="s">
        <v>997</v>
      </c>
      <c r="B563" s="159" t="s">
        <v>631</v>
      </c>
      <c r="C563" s="159" t="s">
        <v>998</v>
      </c>
      <c r="D563" s="25">
        <v>70000</v>
      </c>
      <c r="E563" s="25">
        <v>22571</v>
      </c>
      <c r="F563" s="25">
        <f t="shared" si="8"/>
        <v>47429</v>
      </c>
      <c r="G563" s="25"/>
    </row>
    <row r="564" spans="1:7">
      <c r="A564" s="159" t="s">
        <v>999</v>
      </c>
      <c r="B564" s="159" t="s">
        <v>631</v>
      </c>
      <c r="C564" s="159" t="s">
        <v>998</v>
      </c>
      <c r="D564" s="25">
        <v>1</v>
      </c>
      <c r="E564" s="25">
        <v>0</v>
      </c>
      <c r="F564" s="25">
        <f t="shared" si="8"/>
        <v>1</v>
      </c>
      <c r="G564" s="25"/>
    </row>
    <row r="565" spans="1:7">
      <c r="A565" s="159" t="s">
        <v>1000</v>
      </c>
      <c r="B565" s="159" t="s">
        <v>631</v>
      </c>
      <c r="C565" s="159" t="s">
        <v>998</v>
      </c>
      <c r="D565" s="25">
        <v>213000</v>
      </c>
      <c r="E565" s="25">
        <v>68687</v>
      </c>
      <c r="F565" s="25">
        <f t="shared" si="8"/>
        <v>144313</v>
      </c>
      <c r="G565" s="25"/>
    </row>
    <row r="566" spans="1:7">
      <c r="A566" s="159" t="s">
        <v>1001</v>
      </c>
      <c r="B566" s="159" t="s">
        <v>631</v>
      </c>
      <c r="C566" s="159" t="s">
        <v>998</v>
      </c>
      <c r="D566" s="25">
        <v>1</v>
      </c>
      <c r="E566" s="25">
        <v>0</v>
      </c>
      <c r="F566" s="25">
        <f t="shared" si="8"/>
        <v>1</v>
      </c>
      <c r="G566" s="25"/>
    </row>
    <row r="567" spans="1:7">
      <c r="A567" s="159" t="s">
        <v>1002</v>
      </c>
      <c r="B567" s="159" t="s">
        <v>631</v>
      </c>
      <c r="C567" s="159" t="s">
        <v>998</v>
      </c>
      <c r="D567" s="25">
        <v>113000</v>
      </c>
      <c r="E567" s="25">
        <v>36428</v>
      </c>
      <c r="F567" s="25">
        <f t="shared" si="8"/>
        <v>76572</v>
      </c>
      <c r="G567" s="25"/>
    </row>
    <row r="568" spans="1:7">
      <c r="A568" s="159" t="s">
        <v>1003</v>
      </c>
      <c r="B568" s="159" t="s">
        <v>631</v>
      </c>
      <c r="C568" s="159" t="s">
        <v>998</v>
      </c>
      <c r="D568" s="25">
        <v>1</v>
      </c>
      <c r="E568" s="25">
        <v>0</v>
      </c>
      <c r="F568" s="25">
        <f t="shared" si="8"/>
        <v>1</v>
      </c>
      <c r="G568" s="25"/>
    </row>
    <row r="569" spans="1:7">
      <c r="A569" s="159" t="s">
        <v>1004</v>
      </c>
      <c r="B569" s="159" t="s">
        <v>631</v>
      </c>
      <c r="C569" s="159" t="s">
        <v>1005</v>
      </c>
      <c r="D569" s="25">
        <v>1133000</v>
      </c>
      <c r="E569" s="25">
        <v>365319</v>
      </c>
      <c r="F569" s="25">
        <f t="shared" si="8"/>
        <v>767681</v>
      </c>
      <c r="G569" s="25"/>
    </row>
    <row r="570" spans="1:7">
      <c r="A570" s="159" t="s">
        <v>1006</v>
      </c>
      <c r="B570" s="159" t="s">
        <v>631</v>
      </c>
      <c r="C570" s="159" t="s">
        <v>1005</v>
      </c>
      <c r="D570" s="25">
        <v>1</v>
      </c>
      <c r="E570" s="25">
        <v>0</v>
      </c>
      <c r="F570" s="25">
        <f t="shared" si="8"/>
        <v>1</v>
      </c>
      <c r="G570" s="25"/>
    </row>
    <row r="571" spans="1:7">
      <c r="A571" s="159" t="s">
        <v>1007</v>
      </c>
      <c r="B571" s="159" t="s">
        <v>631</v>
      </c>
      <c r="C571" s="159" t="s">
        <v>390</v>
      </c>
      <c r="D571" s="25">
        <v>107000</v>
      </c>
      <c r="E571" s="25">
        <v>23288</v>
      </c>
      <c r="F571" s="25">
        <f t="shared" si="8"/>
        <v>83712</v>
      </c>
      <c r="G571" s="25"/>
    </row>
    <row r="572" spans="1:7">
      <c r="A572" s="159" t="s">
        <v>1008</v>
      </c>
      <c r="B572" s="159" t="s">
        <v>631</v>
      </c>
      <c r="C572" s="159" t="s">
        <v>1009</v>
      </c>
      <c r="D572" s="25">
        <v>283000</v>
      </c>
      <c r="E572" s="25">
        <v>74270</v>
      </c>
      <c r="F572" s="25">
        <f t="shared" si="8"/>
        <v>208730</v>
      </c>
      <c r="G572" s="25"/>
    </row>
    <row r="573" spans="1:7">
      <c r="A573" s="159" t="s">
        <v>1010</v>
      </c>
      <c r="B573" s="159" t="s">
        <v>631</v>
      </c>
      <c r="C573" s="159" t="s">
        <v>1009</v>
      </c>
      <c r="D573" s="25">
        <v>1</v>
      </c>
      <c r="E573" s="25">
        <v>0</v>
      </c>
      <c r="F573" s="25">
        <f t="shared" si="8"/>
        <v>1</v>
      </c>
      <c r="G573" s="25"/>
    </row>
    <row r="574" spans="1:7">
      <c r="A574" s="159" t="s">
        <v>1011</v>
      </c>
      <c r="B574" s="159" t="s">
        <v>631</v>
      </c>
      <c r="C574" s="159" t="s">
        <v>394</v>
      </c>
      <c r="D574" s="25">
        <v>252000</v>
      </c>
      <c r="E574" s="25">
        <v>54853</v>
      </c>
      <c r="F574" s="25">
        <f t="shared" si="8"/>
        <v>197147</v>
      </c>
      <c r="G574" s="25"/>
    </row>
    <row r="575" spans="1:7">
      <c r="A575" s="159" t="s">
        <v>1012</v>
      </c>
      <c r="B575" s="159" t="s">
        <v>631</v>
      </c>
      <c r="C575" s="159" t="s">
        <v>396</v>
      </c>
      <c r="D575" s="25">
        <v>466000</v>
      </c>
      <c r="E575" s="25">
        <v>101424</v>
      </c>
      <c r="F575" s="25">
        <f t="shared" si="8"/>
        <v>364576</v>
      </c>
      <c r="G575" s="25"/>
    </row>
    <row r="576" spans="1:7">
      <c r="A576" s="159" t="s">
        <v>1013</v>
      </c>
      <c r="B576" s="159" t="s">
        <v>631</v>
      </c>
      <c r="C576" s="159" t="s">
        <v>1014</v>
      </c>
      <c r="D576" s="25">
        <v>320000</v>
      </c>
      <c r="E576" s="25">
        <v>103182</v>
      </c>
      <c r="F576" s="25">
        <f t="shared" si="8"/>
        <v>216818</v>
      </c>
      <c r="G576" s="25"/>
    </row>
    <row r="577" spans="1:7">
      <c r="A577" s="159" t="s">
        <v>1015</v>
      </c>
      <c r="B577" s="159" t="s">
        <v>631</v>
      </c>
      <c r="C577" s="159" t="s">
        <v>1014</v>
      </c>
      <c r="D577" s="25">
        <v>1</v>
      </c>
      <c r="E577" s="25">
        <v>0</v>
      </c>
      <c r="F577" s="25">
        <f t="shared" si="8"/>
        <v>1</v>
      </c>
      <c r="G577" s="25"/>
    </row>
    <row r="578" spans="1:7">
      <c r="A578" s="159" t="s">
        <v>1016</v>
      </c>
      <c r="B578" s="159" t="s">
        <v>631</v>
      </c>
      <c r="C578" s="159" t="s">
        <v>400</v>
      </c>
      <c r="D578" s="25">
        <v>1</v>
      </c>
      <c r="E578" s="25">
        <v>0</v>
      </c>
      <c r="F578" s="25">
        <f t="shared" si="8"/>
        <v>1</v>
      </c>
      <c r="G578" s="25"/>
    </row>
    <row r="579" spans="1:7">
      <c r="A579" s="159" t="s">
        <v>1017</v>
      </c>
      <c r="B579" s="159" t="s">
        <v>631</v>
      </c>
      <c r="C579" s="159" t="s">
        <v>1018</v>
      </c>
      <c r="D579" s="25">
        <v>830000</v>
      </c>
      <c r="E579" s="25">
        <v>267626</v>
      </c>
      <c r="F579" s="25">
        <f t="shared" si="8"/>
        <v>562374</v>
      </c>
      <c r="G579" s="25"/>
    </row>
    <row r="580" spans="1:7">
      <c r="A580" s="159" t="s">
        <v>1019</v>
      </c>
      <c r="B580" s="159" t="s">
        <v>631</v>
      </c>
      <c r="C580" s="159" t="s">
        <v>1018</v>
      </c>
      <c r="D580" s="25">
        <v>1</v>
      </c>
      <c r="E580" s="25">
        <v>0</v>
      </c>
      <c r="F580" s="25">
        <f t="shared" ref="F580:F643" si="9">D580-E580</f>
        <v>1</v>
      </c>
      <c r="G580" s="25"/>
    </row>
    <row r="581" spans="1:7">
      <c r="A581" s="159" t="s">
        <v>1020</v>
      </c>
      <c r="B581" s="159" t="s">
        <v>631</v>
      </c>
      <c r="C581" s="159" t="s">
        <v>1021</v>
      </c>
      <c r="D581" s="25">
        <v>605000</v>
      </c>
      <c r="E581" s="25">
        <v>195077</v>
      </c>
      <c r="F581" s="25">
        <f t="shared" si="9"/>
        <v>409923</v>
      </c>
      <c r="G581" s="25"/>
    </row>
    <row r="582" spans="1:7">
      <c r="A582" s="159" t="s">
        <v>1022</v>
      </c>
      <c r="B582" s="159" t="s">
        <v>631</v>
      </c>
      <c r="C582" s="159" t="s">
        <v>1021</v>
      </c>
      <c r="D582" s="25">
        <v>1</v>
      </c>
      <c r="E582" s="25">
        <v>0</v>
      </c>
      <c r="F582" s="25">
        <f t="shared" si="9"/>
        <v>1</v>
      </c>
      <c r="G582" s="25"/>
    </row>
    <row r="583" spans="1:7">
      <c r="A583" s="159" t="s">
        <v>1023</v>
      </c>
      <c r="B583" s="159" t="s">
        <v>631</v>
      </c>
      <c r="C583" s="159" t="s">
        <v>1024</v>
      </c>
      <c r="D583" s="25">
        <v>573000</v>
      </c>
      <c r="E583" s="25">
        <v>184766</v>
      </c>
      <c r="F583" s="25">
        <f t="shared" si="9"/>
        <v>388234</v>
      </c>
      <c r="G583" s="25"/>
    </row>
    <row r="584" spans="1:7">
      <c r="A584" s="159" t="s">
        <v>1025</v>
      </c>
      <c r="B584" s="159" t="s">
        <v>631</v>
      </c>
      <c r="C584" s="159" t="s">
        <v>1024</v>
      </c>
      <c r="D584" s="25">
        <v>1</v>
      </c>
      <c r="E584" s="25">
        <v>0</v>
      </c>
      <c r="F584" s="25">
        <f t="shared" si="9"/>
        <v>1</v>
      </c>
      <c r="G584" s="25"/>
    </row>
    <row r="585" spans="1:7">
      <c r="A585" s="159" t="s">
        <v>1026</v>
      </c>
      <c r="B585" s="159" t="s">
        <v>631</v>
      </c>
      <c r="C585" s="159" t="s">
        <v>1027</v>
      </c>
      <c r="D585" s="25">
        <v>515000</v>
      </c>
      <c r="E585" s="25">
        <v>166057</v>
      </c>
      <c r="F585" s="25">
        <f t="shared" si="9"/>
        <v>348943</v>
      </c>
      <c r="G585" s="25"/>
    </row>
    <row r="586" spans="1:7">
      <c r="A586" s="159" t="s">
        <v>1028</v>
      </c>
      <c r="B586" s="159" t="s">
        <v>631</v>
      </c>
      <c r="C586" s="159" t="s">
        <v>1027</v>
      </c>
      <c r="D586" s="25">
        <v>1</v>
      </c>
      <c r="E586" s="25">
        <v>0</v>
      </c>
      <c r="F586" s="25">
        <f t="shared" si="9"/>
        <v>1</v>
      </c>
      <c r="G586" s="25"/>
    </row>
    <row r="587" spans="1:7">
      <c r="A587" s="159" t="s">
        <v>1029</v>
      </c>
      <c r="B587" s="159" t="s">
        <v>631</v>
      </c>
      <c r="C587" s="159" t="s">
        <v>410</v>
      </c>
      <c r="D587" s="25">
        <v>38000</v>
      </c>
      <c r="E587" s="25">
        <v>8265</v>
      </c>
      <c r="F587" s="25">
        <f t="shared" si="9"/>
        <v>29735</v>
      </c>
      <c r="G587" s="25"/>
    </row>
    <row r="588" spans="1:7">
      <c r="A588" s="159" t="s">
        <v>1030</v>
      </c>
      <c r="B588" s="159" t="s">
        <v>631</v>
      </c>
      <c r="C588" s="159" t="s">
        <v>412</v>
      </c>
      <c r="D588" s="25">
        <v>208000</v>
      </c>
      <c r="E588" s="25">
        <v>67075</v>
      </c>
      <c r="F588" s="25">
        <f t="shared" si="9"/>
        <v>140925</v>
      </c>
      <c r="G588" s="25"/>
    </row>
    <row r="589" spans="1:7">
      <c r="A589" s="159" t="s">
        <v>1031</v>
      </c>
      <c r="B589" s="159" t="s">
        <v>631</v>
      </c>
      <c r="C589" s="159" t="s">
        <v>412</v>
      </c>
      <c r="D589" s="25">
        <v>1</v>
      </c>
      <c r="E589" s="25">
        <v>0</v>
      </c>
      <c r="F589" s="25">
        <f t="shared" si="9"/>
        <v>1</v>
      </c>
      <c r="G589" s="25"/>
    </row>
    <row r="590" spans="1:7">
      <c r="A590" s="159" t="s">
        <v>1032</v>
      </c>
      <c r="B590" s="159" t="s">
        <v>631</v>
      </c>
      <c r="C590" s="159" t="s">
        <v>414</v>
      </c>
      <c r="D590" s="25">
        <v>875000</v>
      </c>
      <c r="E590" s="25">
        <v>190440</v>
      </c>
      <c r="F590" s="25">
        <f t="shared" si="9"/>
        <v>684560</v>
      </c>
      <c r="G590" s="25"/>
    </row>
    <row r="591" spans="1:7">
      <c r="A591" s="159" t="s">
        <v>1033</v>
      </c>
      <c r="B591" s="159" t="s">
        <v>631</v>
      </c>
      <c r="C591" s="159" t="s">
        <v>416</v>
      </c>
      <c r="D591" s="25">
        <v>318000</v>
      </c>
      <c r="E591" s="25">
        <v>69213</v>
      </c>
      <c r="F591" s="25">
        <f t="shared" si="9"/>
        <v>248787</v>
      </c>
      <c r="G591" s="25"/>
    </row>
    <row r="592" spans="1:7">
      <c r="A592" s="159" t="s">
        <v>1034</v>
      </c>
      <c r="B592" s="159" t="s">
        <v>631</v>
      </c>
      <c r="C592" s="159" t="s">
        <v>418</v>
      </c>
      <c r="D592" s="25">
        <v>229000</v>
      </c>
      <c r="E592" s="25">
        <v>49847</v>
      </c>
      <c r="F592" s="25">
        <f t="shared" si="9"/>
        <v>179153</v>
      </c>
      <c r="G592" s="25"/>
    </row>
    <row r="593" spans="1:7">
      <c r="A593" s="159" t="s">
        <v>1035</v>
      </c>
      <c r="B593" s="159" t="s">
        <v>631</v>
      </c>
      <c r="C593" s="159" t="s">
        <v>420</v>
      </c>
      <c r="D593" s="25">
        <v>2188000</v>
      </c>
      <c r="E593" s="25">
        <v>476212</v>
      </c>
      <c r="F593" s="25">
        <f t="shared" si="9"/>
        <v>1711788</v>
      </c>
      <c r="G593" s="25"/>
    </row>
    <row r="594" spans="1:7">
      <c r="A594" s="159" t="s">
        <v>1036</v>
      </c>
      <c r="B594" s="159" t="s">
        <v>631</v>
      </c>
      <c r="C594" s="159" t="s">
        <v>1037</v>
      </c>
      <c r="D594" s="25">
        <v>445000</v>
      </c>
      <c r="E594" s="25">
        <v>143487</v>
      </c>
      <c r="F594" s="25">
        <f t="shared" si="9"/>
        <v>301513</v>
      </c>
      <c r="G594" s="25"/>
    </row>
    <row r="595" spans="1:7">
      <c r="A595" s="159" t="s">
        <v>1038</v>
      </c>
      <c r="B595" s="159" t="s">
        <v>631</v>
      </c>
      <c r="C595" s="159" t="s">
        <v>1037</v>
      </c>
      <c r="D595" s="25">
        <v>1</v>
      </c>
      <c r="E595" s="25">
        <v>0</v>
      </c>
      <c r="F595" s="25">
        <f t="shared" si="9"/>
        <v>1</v>
      </c>
      <c r="G595" s="25"/>
    </row>
    <row r="596" spans="1:7">
      <c r="A596" s="159" t="s">
        <v>1039</v>
      </c>
      <c r="B596" s="159" t="s">
        <v>631</v>
      </c>
      <c r="C596" s="159" t="s">
        <v>1040</v>
      </c>
      <c r="D596" s="25">
        <v>370000</v>
      </c>
      <c r="E596" s="25">
        <v>119304</v>
      </c>
      <c r="F596" s="25">
        <f t="shared" si="9"/>
        <v>250696</v>
      </c>
      <c r="G596" s="25"/>
    </row>
    <row r="597" spans="1:7">
      <c r="A597" s="159" t="s">
        <v>1041</v>
      </c>
      <c r="B597" s="159" t="s">
        <v>631</v>
      </c>
      <c r="C597" s="159" t="s">
        <v>1040</v>
      </c>
      <c r="D597" s="25">
        <v>1</v>
      </c>
      <c r="E597" s="25">
        <v>0</v>
      </c>
      <c r="F597" s="25">
        <f t="shared" si="9"/>
        <v>1</v>
      </c>
      <c r="G597" s="25"/>
    </row>
    <row r="598" spans="1:7">
      <c r="A598" s="159" t="s">
        <v>1042</v>
      </c>
      <c r="B598" s="159" t="s">
        <v>631</v>
      </c>
      <c r="C598" s="159" t="s">
        <v>1043</v>
      </c>
      <c r="D598" s="25">
        <v>225000</v>
      </c>
      <c r="E598" s="25">
        <v>72542</v>
      </c>
      <c r="F598" s="25">
        <f t="shared" si="9"/>
        <v>152458</v>
      </c>
      <c r="G598" s="25"/>
    </row>
    <row r="599" spans="1:7">
      <c r="A599" s="159" t="s">
        <v>1044</v>
      </c>
      <c r="B599" s="159" t="s">
        <v>631</v>
      </c>
      <c r="C599" s="159" t="s">
        <v>1043</v>
      </c>
      <c r="D599" s="25">
        <v>1</v>
      </c>
      <c r="E599" s="25">
        <v>0</v>
      </c>
      <c r="F599" s="25">
        <f t="shared" si="9"/>
        <v>1</v>
      </c>
      <c r="G599" s="25"/>
    </row>
    <row r="600" spans="1:7">
      <c r="A600" s="159" t="s">
        <v>1045</v>
      </c>
      <c r="B600" s="159" t="s">
        <v>631</v>
      </c>
      <c r="C600" s="159" t="s">
        <v>428</v>
      </c>
      <c r="D600" s="25">
        <v>196000</v>
      </c>
      <c r="E600" s="25">
        <v>42658</v>
      </c>
      <c r="F600" s="25">
        <f t="shared" si="9"/>
        <v>153342</v>
      </c>
      <c r="G600" s="25"/>
    </row>
    <row r="601" spans="1:7">
      <c r="A601" s="159" t="s">
        <v>1046</v>
      </c>
      <c r="B601" s="159" t="s">
        <v>631</v>
      </c>
      <c r="C601" s="159" t="s">
        <v>1047</v>
      </c>
      <c r="D601" s="25">
        <v>890000</v>
      </c>
      <c r="E601" s="25">
        <v>286980</v>
      </c>
      <c r="F601" s="25">
        <f t="shared" si="9"/>
        <v>603020</v>
      </c>
      <c r="G601" s="25"/>
    </row>
    <row r="602" spans="1:7">
      <c r="A602" s="159" t="s">
        <v>1048</v>
      </c>
      <c r="B602" s="159" t="s">
        <v>631</v>
      </c>
      <c r="C602" s="159" t="s">
        <v>1047</v>
      </c>
      <c r="D602" s="25">
        <v>1</v>
      </c>
      <c r="E602" s="25">
        <v>0</v>
      </c>
      <c r="F602" s="25">
        <f t="shared" si="9"/>
        <v>1</v>
      </c>
      <c r="G602" s="25"/>
    </row>
    <row r="603" spans="1:7">
      <c r="A603" s="159" t="s">
        <v>1049</v>
      </c>
      <c r="B603" s="159" t="s">
        <v>631</v>
      </c>
      <c r="C603" s="159" t="s">
        <v>432</v>
      </c>
      <c r="D603" s="25">
        <v>91000</v>
      </c>
      <c r="E603" s="25">
        <v>19805</v>
      </c>
      <c r="F603" s="25">
        <f t="shared" si="9"/>
        <v>71195</v>
      </c>
      <c r="G603" s="25"/>
    </row>
    <row r="604" spans="1:7">
      <c r="A604" s="159" t="s">
        <v>1050</v>
      </c>
      <c r="B604" s="159" t="s">
        <v>631</v>
      </c>
      <c r="C604" s="159" t="s">
        <v>1051</v>
      </c>
      <c r="D604" s="25">
        <v>59656956</v>
      </c>
      <c r="E604" s="25">
        <v>13162482</v>
      </c>
      <c r="F604" s="25">
        <f t="shared" si="9"/>
        <v>46494474</v>
      </c>
      <c r="G604" s="25"/>
    </row>
    <row r="605" spans="1:7">
      <c r="A605" s="159" t="s">
        <v>1052</v>
      </c>
      <c r="B605" s="159" t="s">
        <v>631</v>
      </c>
      <c r="C605" s="159" t="s">
        <v>436</v>
      </c>
      <c r="D605" s="25">
        <v>208000</v>
      </c>
      <c r="E605" s="25">
        <v>45275</v>
      </c>
      <c r="F605" s="25">
        <f t="shared" si="9"/>
        <v>162725</v>
      </c>
      <c r="G605" s="25"/>
    </row>
    <row r="606" spans="1:7">
      <c r="A606" s="159" t="s">
        <v>1053</v>
      </c>
      <c r="B606" s="159" t="s">
        <v>631</v>
      </c>
      <c r="C606" s="159" t="s">
        <v>438</v>
      </c>
      <c r="D606" s="25">
        <v>6280581</v>
      </c>
      <c r="E606" s="25">
        <v>1608556</v>
      </c>
      <c r="F606" s="25">
        <f t="shared" si="9"/>
        <v>4672025</v>
      </c>
      <c r="G606" s="25"/>
    </row>
    <row r="607" spans="1:7">
      <c r="A607" s="159" t="s">
        <v>1054</v>
      </c>
      <c r="B607" s="159" t="s">
        <v>631</v>
      </c>
      <c r="C607" s="159" t="s">
        <v>1055</v>
      </c>
      <c r="D607" s="25">
        <v>38000</v>
      </c>
      <c r="E607" s="25">
        <v>12245</v>
      </c>
      <c r="F607" s="25">
        <f t="shared" si="9"/>
        <v>25755</v>
      </c>
      <c r="G607" s="25"/>
    </row>
    <row r="608" spans="1:7">
      <c r="A608" s="159" t="s">
        <v>1056</v>
      </c>
      <c r="B608" s="159" t="s">
        <v>631</v>
      </c>
      <c r="C608" s="159" t="s">
        <v>1055</v>
      </c>
      <c r="D608" s="25">
        <v>1</v>
      </c>
      <c r="E608" s="25">
        <v>0</v>
      </c>
      <c r="F608" s="25">
        <f t="shared" si="9"/>
        <v>1</v>
      </c>
      <c r="G608" s="25"/>
    </row>
    <row r="609" spans="1:7">
      <c r="A609" s="159" t="s">
        <v>1057</v>
      </c>
      <c r="B609" s="159" t="s">
        <v>631</v>
      </c>
      <c r="C609" s="159" t="s">
        <v>1055</v>
      </c>
      <c r="D609" s="25">
        <v>1</v>
      </c>
      <c r="E609" s="25">
        <v>0</v>
      </c>
      <c r="F609" s="25">
        <f t="shared" si="9"/>
        <v>1</v>
      </c>
      <c r="G609" s="25"/>
    </row>
    <row r="610" spans="1:7">
      <c r="A610" s="159" t="s">
        <v>1058</v>
      </c>
      <c r="B610" s="159" t="s">
        <v>631</v>
      </c>
      <c r="C610" s="159" t="s">
        <v>1059</v>
      </c>
      <c r="D610" s="25">
        <v>690000</v>
      </c>
      <c r="E610" s="25">
        <v>222492</v>
      </c>
      <c r="F610" s="25">
        <f t="shared" si="9"/>
        <v>467508</v>
      </c>
      <c r="G610" s="25"/>
    </row>
    <row r="611" spans="1:7">
      <c r="A611" s="159" t="s">
        <v>1060</v>
      </c>
      <c r="B611" s="159" t="s">
        <v>631</v>
      </c>
      <c r="C611" s="159" t="s">
        <v>1059</v>
      </c>
      <c r="D611" s="25">
        <v>1</v>
      </c>
      <c r="E611" s="25">
        <v>0</v>
      </c>
      <c r="F611" s="25">
        <f t="shared" si="9"/>
        <v>1</v>
      </c>
      <c r="G611" s="25"/>
    </row>
    <row r="612" spans="1:7">
      <c r="A612" s="159" t="s">
        <v>1061</v>
      </c>
      <c r="B612" s="159" t="s">
        <v>631</v>
      </c>
      <c r="C612" s="159" t="s">
        <v>1062</v>
      </c>
      <c r="D612" s="25">
        <v>170000</v>
      </c>
      <c r="E612" s="25">
        <v>54815</v>
      </c>
      <c r="F612" s="25">
        <f t="shared" si="9"/>
        <v>115185</v>
      </c>
      <c r="G612" s="25"/>
    </row>
    <row r="613" spans="1:7">
      <c r="A613" s="159" t="s">
        <v>1063</v>
      </c>
      <c r="B613" s="159" t="s">
        <v>631</v>
      </c>
      <c r="C613" s="159" t="s">
        <v>1062</v>
      </c>
      <c r="D613" s="25">
        <v>1</v>
      </c>
      <c r="E613" s="25">
        <v>0</v>
      </c>
      <c r="F613" s="25">
        <f t="shared" si="9"/>
        <v>1</v>
      </c>
      <c r="G613" s="25"/>
    </row>
    <row r="614" spans="1:7">
      <c r="A614" s="159" t="s">
        <v>1064</v>
      </c>
      <c r="B614" s="159" t="s">
        <v>631</v>
      </c>
      <c r="C614" s="159" t="s">
        <v>1065</v>
      </c>
      <c r="D614" s="25">
        <v>170000</v>
      </c>
      <c r="E614" s="25">
        <v>54815</v>
      </c>
      <c r="F614" s="25">
        <f t="shared" si="9"/>
        <v>115185</v>
      </c>
      <c r="G614" s="25"/>
    </row>
    <row r="615" spans="1:7">
      <c r="A615" s="159" t="s">
        <v>1066</v>
      </c>
      <c r="B615" s="159" t="s">
        <v>631</v>
      </c>
      <c r="C615" s="159" t="s">
        <v>1065</v>
      </c>
      <c r="D615" s="25">
        <v>1</v>
      </c>
      <c r="E615" s="25">
        <v>0</v>
      </c>
      <c r="F615" s="25">
        <f t="shared" si="9"/>
        <v>1</v>
      </c>
      <c r="G615" s="25"/>
    </row>
    <row r="616" spans="1:7">
      <c r="A616" s="159" t="s">
        <v>1067</v>
      </c>
      <c r="B616" s="159" t="s">
        <v>631</v>
      </c>
      <c r="C616" s="159" t="s">
        <v>1068</v>
      </c>
      <c r="D616" s="25">
        <v>153000</v>
      </c>
      <c r="E616" s="25">
        <v>49334</v>
      </c>
      <c r="F616" s="25">
        <f t="shared" si="9"/>
        <v>103666</v>
      </c>
      <c r="G616" s="25"/>
    </row>
    <row r="617" spans="1:7">
      <c r="A617" s="159" t="s">
        <v>1069</v>
      </c>
      <c r="B617" s="159" t="s">
        <v>631</v>
      </c>
      <c r="C617" s="159" t="s">
        <v>1068</v>
      </c>
      <c r="D617" s="25">
        <v>1</v>
      </c>
      <c r="E617" s="25">
        <v>0</v>
      </c>
      <c r="F617" s="25">
        <f t="shared" si="9"/>
        <v>1</v>
      </c>
      <c r="G617" s="25"/>
    </row>
    <row r="618" spans="1:7">
      <c r="A618" s="159" t="s">
        <v>1070</v>
      </c>
      <c r="B618" s="159" t="s">
        <v>631</v>
      </c>
      <c r="C618" s="159" t="s">
        <v>1068</v>
      </c>
      <c r="D618" s="25">
        <v>110000</v>
      </c>
      <c r="E618" s="25">
        <v>35476</v>
      </c>
      <c r="F618" s="25">
        <f t="shared" si="9"/>
        <v>74524</v>
      </c>
      <c r="G618" s="25"/>
    </row>
    <row r="619" spans="1:7">
      <c r="A619" s="159" t="s">
        <v>1071</v>
      </c>
      <c r="B619" s="159" t="s">
        <v>631</v>
      </c>
      <c r="C619" s="159" t="s">
        <v>1068</v>
      </c>
      <c r="D619" s="25">
        <v>1</v>
      </c>
      <c r="E619" s="25">
        <v>0</v>
      </c>
      <c r="F619" s="25">
        <f t="shared" si="9"/>
        <v>1</v>
      </c>
      <c r="G619" s="25"/>
    </row>
    <row r="620" spans="1:7">
      <c r="A620" s="159" t="s">
        <v>1072</v>
      </c>
      <c r="B620" s="159" t="s">
        <v>631</v>
      </c>
      <c r="C620" s="159" t="s">
        <v>1073</v>
      </c>
      <c r="D620" s="25">
        <v>533000</v>
      </c>
      <c r="E620" s="25">
        <v>171861</v>
      </c>
      <c r="F620" s="25">
        <f t="shared" si="9"/>
        <v>361139</v>
      </c>
      <c r="G620" s="25"/>
    </row>
    <row r="621" spans="1:7">
      <c r="A621" s="159" t="s">
        <v>1074</v>
      </c>
      <c r="B621" s="159" t="s">
        <v>631</v>
      </c>
      <c r="C621" s="159" t="s">
        <v>1073</v>
      </c>
      <c r="D621" s="25">
        <v>1</v>
      </c>
      <c r="E621" s="25">
        <v>0</v>
      </c>
      <c r="F621" s="25">
        <f t="shared" si="9"/>
        <v>1</v>
      </c>
      <c r="G621" s="25"/>
    </row>
    <row r="622" spans="1:7">
      <c r="A622" s="159" t="s">
        <v>1075</v>
      </c>
      <c r="B622" s="159" t="s">
        <v>631</v>
      </c>
      <c r="C622" s="159" t="s">
        <v>451</v>
      </c>
      <c r="D622" s="25">
        <v>881000</v>
      </c>
      <c r="E622" s="25">
        <v>191747</v>
      </c>
      <c r="F622" s="25">
        <f t="shared" si="9"/>
        <v>689253</v>
      </c>
      <c r="G622" s="25"/>
    </row>
    <row r="623" spans="1:7">
      <c r="A623" s="159" t="s">
        <v>1076</v>
      </c>
      <c r="B623" s="159" t="s">
        <v>631</v>
      </c>
      <c r="C623" s="159" t="s">
        <v>1077</v>
      </c>
      <c r="D623" s="25">
        <v>235000</v>
      </c>
      <c r="E623" s="25">
        <v>75774</v>
      </c>
      <c r="F623" s="25">
        <f t="shared" si="9"/>
        <v>159226</v>
      </c>
      <c r="G623" s="25"/>
    </row>
    <row r="624" spans="1:7">
      <c r="A624" s="159" t="s">
        <v>1078</v>
      </c>
      <c r="B624" s="159" t="s">
        <v>631</v>
      </c>
      <c r="C624" s="159" t="s">
        <v>1077</v>
      </c>
      <c r="D624" s="25">
        <v>1</v>
      </c>
      <c r="E624" s="25">
        <v>0</v>
      </c>
      <c r="F624" s="25">
        <f t="shared" si="9"/>
        <v>1</v>
      </c>
      <c r="G624" s="25"/>
    </row>
    <row r="625" spans="1:7">
      <c r="A625" s="159" t="s">
        <v>1079</v>
      </c>
      <c r="B625" s="159" t="s">
        <v>631</v>
      </c>
      <c r="C625" s="159" t="s">
        <v>1077</v>
      </c>
      <c r="D625" s="25">
        <v>73000</v>
      </c>
      <c r="E625" s="25">
        <v>23538</v>
      </c>
      <c r="F625" s="25">
        <f t="shared" si="9"/>
        <v>49462</v>
      </c>
      <c r="G625" s="25"/>
    </row>
    <row r="626" spans="1:7">
      <c r="A626" s="159" t="s">
        <v>1080</v>
      </c>
      <c r="B626" s="159" t="s">
        <v>631</v>
      </c>
      <c r="C626" s="159" t="s">
        <v>1077</v>
      </c>
      <c r="D626" s="25">
        <v>1</v>
      </c>
      <c r="E626" s="25">
        <v>0</v>
      </c>
      <c r="F626" s="25">
        <f t="shared" si="9"/>
        <v>1</v>
      </c>
      <c r="G626" s="25"/>
    </row>
    <row r="627" spans="1:7">
      <c r="A627" s="159" t="s">
        <v>1081</v>
      </c>
      <c r="B627" s="159" t="s">
        <v>631</v>
      </c>
      <c r="C627" s="159" t="s">
        <v>1077</v>
      </c>
      <c r="D627" s="25">
        <v>125000</v>
      </c>
      <c r="E627" s="25">
        <v>40305</v>
      </c>
      <c r="F627" s="25">
        <f t="shared" si="9"/>
        <v>84695</v>
      </c>
      <c r="G627" s="25"/>
    </row>
    <row r="628" spans="1:7">
      <c r="A628" s="159" t="s">
        <v>1082</v>
      </c>
      <c r="B628" s="159" t="s">
        <v>631</v>
      </c>
      <c r="C628" s="159" t="s">
        <v>1077</v>
      </c>
      <c r="D628" s="25">
        <v>1</v>
      </c>
      <c r="E628" s="25">
        <v>0</v>
      </c>
      <c r="F628" s="25">
        <f t="shared" si="9"/>
        <v>1</v>
      </c>
      <c r="G628" s="25"/>
    </row>
    <row r="629" spans="1:7">
      <c r="A629" s="159" t="s">
        <v>1083</v>
      </c>
      <c r="B629" s="159" t="s">
        <v>631</v>
      </c>
      <c r="C629" s="159" t="s">
        <v>1084</v>
      </c>
      <c r="D629" s="25">
        <v>230000</v>
      </c>
      <c r="E629" s="25">
        <v>74154</v>
      </c>
      <c r="F629" s="25">
        <f t="shared" si="9"/>
        <v>155846</v>
      </c>
      <c r="G629" s="25"/>
    </row>
    <row r="630" spans="1:7">
      <c r="A630" s="159" t="s">
        <v>1085</v>
      </c>
      <c r="B630" s="159" t="s">
        <v>631</v>
      </c>
      <c r="C630" s="159" t="s">
        <v>1084</v>
      </c>
      <c r="D630" s="25">
        <v>1</v>
      </c>
      <c r="E630" s="25">
        <v>0</v>
      </c>
      <c r="F630" s="25">
        <f t="shared" si="9"/>
        <v>1</v>
      </c>
      <c r="G630" s="25"/>
    </row>
    <row r="631" spans="1:7">
      <c r="A631" s="159" t="s">
        <v>1086</v>
      </c>
      <c r="B631" s="159" t="s">
        <v>631</v>
      </c>
      <c r="C631" s="159" t="s">
        <v>460</v>
      </c>
      <c r="D631" s="25">
        <v>1096000</v>
      </c>
      <c r="E631" s="25">
        <v>238542</v>
      </c>
      <c r="F631" s="25">
        <f t="shared" si="9"/>
        <v>857458</v>
      </c>
      <c r="G631" s="25"/>
    </row>
    <row r="632" spans="1:7">
      <c r="A632" s="159" t="s">
        <v>1087</v>
      </c>
      <c r="B632" s="159" t="s">
        <v>631</v>
      </c>
      <c r="C632" s="159" t="s">
        <v>1088</v>
      </c>
      <c r="D632" s="25">
        <v>820000</v>
      </c>
      <c r="E632" s="25">
        <v>264410</v>
      </c>
      <c r="F632" s="25">
        <f t="shared" si="9"/>
        <v>555590</v>
      </c>
      <c r="G632" s="25"/>
    </row>
    <row r="633" spans="1:7">
      <c r="A633" s="159" t="s">
        <v>1089</v>
      </c>
      <c r="B633" s="159" t="s">
        <v>631</v>
      </c>
      <c r="C633" s="159" t="s">
        <v>1088</v>
      </c>
      <c r="D633" s="25">
        <v>1</v>
      </c>
      <c r="E633" s="25">
        <v>0</v>
      </c>
      <c r="F633" s="25">
        <f t="shared" si="9"/>
        <v>1</v>
      </c>
      <c r="G633" s="25"/>
    </row>
    <row r="634" spans="1:7">
      <c r="A634" s="159" t="s">
        <v>1090</v>
      </c>
      <c r="B634" s="159" t="s">
        <v>631</v>
      </c>
      <c r="C634" s="159" t="s">
        <v>1091</v>
      </c>
      <c r="D634" s="25">
        <v>940000</v>
      </c>
      <c r="E634" s="25">
        <v>303095</v>
      </c>
      <c r="F634" s="25">
        <f t="shared" si="9"/>
        <v>636905</v>
      </c>
      <c r="G634" s="25"/>
    </row>
    <row r="635" spans="1:7">
      <c r="A635" s="159" t="s">
        <v>1092</v>
      </c>
      <c r="B635" s="159" t="s">
        <v>631</v>
      </c>
      <c r="C635" s="159" t="s">
        <v>1091</v>
      </c>
      <c r="D635" s="25">
        <v>1</v>
      </c>
      <c r="E635" s="25">
        <v>0</v>
      </c>
      <c r="F635" s="25">
        <f t="shared" si="9"/>
        <v>1</v>
      </c>
      <c r="G635" s="25"/>
    </row>
    <row r="636" spans="1:7">
      <c r="A636" s="159" t="s">
        <v>1093</v>
      </c>
      <c r="B636" s="159" t="s">
        <v>631</v>
      </c>
      <c r="C636" s="159" t="s">
        <v>1094</v>
      </c>
      <c r="D636" s="25">
        <v>950000</v>
      </c>
      <c r="E636" s="25">
        <v>206766</v>
      </c>
      <c r="F636" s="25">
        <f t="shared" si="9"/>
        <v>743234</v>
      </c>
      <c r="G636" s="25"/>
    </row>
    <row r="637" spans="1:7">
      <c r="A637" s="159" t="s">
        <v>1095</v>
      </c>
      <c r="B637" s="159" t="s">
        <v>631</v>
      </c>
      <c r="C637" s="159" t="s">
        <v>468</v>
      </c>
      <c r="D637" s="25">
        <v>359000</v>
      </c>
      <c r="E637" s="25">
        <v>78141</v>
      </c>
      <c r="F637" s="25">
        <f t="shared" si="9"/>
        <v>280859</v>
      </c>
      <c r="G637" s="25"/>
    </row>
    <row r="638" spans="1:7">
      <c r="A638" s="159" t="s">
        <v>1096</v>
      </c>
      <c r="B638" s="159" t="s">
        <v>631</v>
      </c>
      <c r="C638" s="159" t="s">
        <v>1097</v>
      </c>
      <c r="D638" s="25">
        <v>860000</v>
      </c>
      <c r="E638" s="25">
        <v>225770</v>
      </c>
      <c r="F638" s="25">
        <f t="shared" si="9"/>
        <v>634230</v>
      </c>
      <c r="G638" s="25"/>
    </row>
    <row r="639" spans="1:7">
      <c r="A639" s="159" t="s">
        <v>1098</v>
      </c>
      <c r="B639" s="159" t="s">
        <v>631</v>
      </c>
      <c r="C639" s="159" t="s">
        <v>1097</v>
      </c>
      <c r="D639" s="25">
        <v>1421249</v>
      </c>
      <c r="E639" s="25">
        <v>385728</v>
      </c>
      <c r="F639" s="25">
        <f t="shared" si="9"/>
        <v>1035521</v>
      </c>
      <c r="G639" s="25"/>
    </row>
    <row r="640" spans="1:7">
      <c r="A640" s="159" t="s">
        <v>1099</v>
      </c>
      <c r="B640" s="159" t="s">
        <v>631</v>
      </c>
      <c r="C640" s="159" t="s">
        <v>1097</v>
      </c>
      <c r="D640" s="25">
        <v>375000</v>
      </c>
      <c r="E640" s="25">
        <v>87263</v>
      </c>
      <c r="F640" s="25">
        <f t="shared" si="9"/>
        <v>287737</v>
      </c>
      <c r="G640" s="25"/>
    </row>
    <row r="641" spans="1:7">
      <c r="A641" s="159" t="s">
        <v>1100</v>
      </c>
      <c r="B641" s="159" t="s">
        <v>631</v>
      </c>
      <c r="C641" s="159" t="s">
        <v>1101</v>
      </c>
      <c r="D641" s="25">
        <v>135382926</v>
      </c>
      <c r="E641" s="25">
        <v>15189293</v>
      </c>
      <c r="F641" s="25">
        <f t="shared" si="9"/>
        <v>120193633</v>
      </c>
      <c r="G641" s="25"/>
    </row>
    <row r="642" spans="1:7">
      <c r="A642" s="159" t="s">
        <v>1102</v>
      </c>
      <c r="B642" s="159" t="s">
        <v>631</v>
      </c>
      <c r="C642" s="159" t="s">
        <v>1103</v>
      </c>
      <c r="D642" s="25">
        <v>76870000</v>
      </c>
      <c r="E642" s="25">
        <v>8624436</v>
      </c>
      <c r="F642" s="25">
        <f t="shared" si="9"/>
        <v>68245564</v>
      </c>
      <c r="G642" s="25"/>
    </row>
    <row r="643" spans="1:7">
      <c r="A643" s="159" t="s">
        <v>1104</v>
      </c>
      <c r="B643" s="159" t="s">
        <v>631</v>
      </c>
      <c r="C643" s="159" t="s">
        <v>1105</v>
      </c>
      <c r="D643" s="25">
        <v>33354844</v>
      </c>
      <c r="E643" s="25">
        <v>3742245</v>
      </c>
      <c r="F643" s="25">
        <f t="shared" si="9"/>
        <v>29612599</v>
      </c>
      <c r="G643" s="25"/>
    </row>
    <row r="644" spans="1:7">
      <c r="A644" s="159" t="s">
        <v>1106</v>
      </c>
      <c r="B644" s="159" t="s">
        <v>631</v>
      </c>
      <c r="C644" s="159" t="s">
        <v>1107</v>
      </c>
      <c r="D644" s="25">
        <v>43813545</v>
      </c>
      <c r="E644" s="25">
        <v>4915661</v>
      </c>
      <c r="F644" s="25">
        <f t="shared" ref="F644:F707" si="10">D644-E644</f>
        <v>38897884</v>
      </c>
      <c r="G644" s="25"/>
    </row>
    <row r="645" spans="1:7">
      <c r="A645" s="159" t="s">
        <v>1108</v>
      </c>
      <c r="B645" s="159" t="s">
        <v>631</v>
      </c>
      <c r="C645" s="159" t="s">
        <v>1109</v>
      </c>
      <c r="D645" s="25">
        <v>44654700</v>
      </c>
      <c r="E645" s="25">
        <v>5010037</v>
      </c>
      <c r="F645" s="25">
        <f t="shared" si="10"/>
        <v>39644663</v>
      </c>
      <c r="G645" s="25"/>
    </row>
    <row r="646" spans="1:7">
      <c r="A646" s="159" t="s">
        <v>1110</v>
      </c>
      <c r="B646" s="159" t="s">
        <v>631</v>
      </c>
      <c r="C646" s="159" t="s">
        <v>1111</v>
      </c>
      <c r="D646" s="25">
        <v>31631996</v>
      </c>
      <c r="E646" s="25">
        <v>3548954</v>
      </c>
      <c r="F646" s="25">
        <f t="shared" si="10"/>
        <v>28083042</v>
      </c>
      <c r="G646" s="25"/>
    </row>
    <row r="647" spans="1:7">
      <c r="A647" s="159" t="s">
        <v>1112</v>
      </c>
      <c r="B647" s="159" t="s">
        <v>631</v>
      </c>
      <c r="C647" s="159" t="s">
        <v>1113</v>
      </c>
      <c r="D647" s="25">
        <v>15461294</v>
      </c>
      <c r="E647" s="25">
        <v>1734681</v>
      </c>
      <c r="F647" s="25">
        <f t="shared" si="10"/>
        <v>13726613</v>
      </c>
      <c r="G647" s="25"/>
    </row>
    <row r="648" spans="1:7">
      <c r="A648" s="159" t="s">
        <v>1114</v>
      </c>
      <c r="B648" s="159" t="s">
        <v>631</v>
      </c>
      <c r="C648" s="159" t="s">
        <v>1115</v>
      </c>
      <c r="D648" s="25">
        <v>10387760</v>
      </c>
      <c r="E648" s="25">
        <v>1165458</v>
      </c>
      <c r="F648" s="25">
        <f t="shared" si="10"/>
        <v>9222302</v>
      </c>
      <c r="G648" s="25"/>
    </row>
    <row r="649" spans="1:7">
      <c r="A649" s="159" t="s">
        <v>1116</v>
      </c>
      <c r="B649" s="159" t="s">
        <v>631</v>
      </c>
      <c r="C649" s="159" t="s">
        <v>1117</v>
      </c>
      <c r="D649" s="25">
        <v>153244796</v>
      </c>
      <c r="E649" s="25">
        <v>17193311</v>
      </c>
      <c r="F649" s="25">
        <f t="shared" si="10"/>
        <v>136051485</v>
      </c>
      <c r="G649" s="25"/>
    </row>
    <row r="650" spans="1:7">
      <c r="A650" s="159" t="s">
        <v>1118</v>
      </c>
      <c r="B650" s="159" t="s">
        <v>631</v>
      </c>
      <c r="C650" s="159" t="s">
        <v>1119</v>
      </c>
      <c r="D650" s="25">
        <v>6715307</v>
      </c>
      <c r="E650" s="25">
        <v>753427</v>
      </c>
      <c r="F650" s="25">
        <f t="shared" si="10"/>
        <v>5961880</v>
      </c>
      <c r="G650" s="25"/>
    </row>
    <row r="651" spans="1:7">
      <c r="A651" s="159" t="s">
        <v>1120</v>
      </c>
      <c r="B651" s="159" t="s">
        <v>631</v>
      </c>
      <c r="C651" s="159" t="s">
        <v>1121</v>
      </c>
      <c r="D651" s="25">
        <v>19698740</v>
      </c>
      <c r="E651" s="25">
        <v>2210102</v>
      </c>
      <c r="F651" s="25">
        <f t="shared" si="10"/>
        <v>17488638</v>
      </c>
      <c r="G651" s="25"/>
    </row>
    <row r="652" spans="1:7">
      <c r="A652" s="159" t="s">
        <v>1122</v>
      </c>
      <c r="B652" s="159" t="s">
        <v>631</v>
      </c>
      <c r="C652" s="159" t="s">
        <v>1123</v>
      </c>
      <c r="D652" s="25">
        <v>1164000</v>
      </c>
      <c r="E652" s="25">
        <v>130595</v>
      </c>
      <c r="F652" s="25">
        <f t="shared" si="10"/>
        <v>1033405</v>
      </c>
      <c r="G652" s="25"/>
    </row>
    <row r="653" spans="1:7">
      <c r="A653" s="159" t="s">
        <v>1124</v>
      </c>
      <c r="B653" s="159" t="s">
        <v>631</v>
      </c>
      <c r="C653" s="159" t="s">
        <v>1125</v>
      </c>
      <c r="D653" s="25">
        <v>15556804</v>
      </c>
      <c r="E653" s="25">
        <v>1745396</v>
      </c>
      <c r="F653" s="25">
        <f t="shared" si="10"/>
        <v>13811408</v>
      </c>
      <c r="G653" s="25"/>
    </row>
    <row r="654" spans="1:7">
      <c r="A654" s="159" t="s">
        <v>1126</v>
      </c>
      <c r="B654" s="159" t="s">
        <v>631</v>
      </c>
      <c r="C654" s="159" t="s">
        <v>1127</v>
      </c>
      <c r="D654" s="25">
        <v>46898202</v>
      </c>
      <c r="E654" s="25">
        <v>5261749</v>
      </c>
      <c r="F654" s="25">
        <f t="shared" si="10"/>
        <v>41636453</v>
      </c>
      <c r="G654" s="25"/>
    </row>
    <row r="655" spans="1:7">
      <c r="A655" s="159" t="s">
        <v>1128</v>
      </c>
      <c r="B655" s="159" t="s">
        <v>631</v>
      </c>
      <c r="C655" s="159" t="s">
        <v>1129</v>
      </c>
      <c r="D655" s="25">
        <v>68457872</v>
      </c>
      <c r="E655" s="25">
        <v>7680635</v>
      </c>
      <c r="F655" s="25">
        <f t="shared" si="10"/>
        <v>60777237</v>
      </c>
      <c r="G655" s="25"/>
    </row>
    <row r="656" spans="1:7">
      <c r="A656" s="159" t="s">
        <v>1130</v>
      </c>
      <c r="B656" s="159" t="s">
        <v>631</v>
      </c>
      <c r="C656" s="159" t="s">
        <v>1131</v>
      </c>
      <c r="D656" s="25">
        <v>40426122</v>
      </c>
      <c r="E656" s="25">
        <v>4535612</v>
      </c>
      <c r="F656" s="25">
        <f t="shared" si="10"/>
        <v>35890510</v>
      </c>
      <c r="G656" s="25"/>
    </row>
    <row r="657" spans="1:7">
      <c r="A657" s="159" t="s">
        <v>1132</v>
      </c>
      <c r="B657" s="159" t="s">
        <v>631</v>
      </c>
      <c r="C657" s="159" t="s">
        <v>1133</v>
      </c>
      <c r="D657" s="25">
        <v>20539895</v>
      </c>
      <c r="E657" s="25">
        <v>2304472</v>
      </c>
      <c r="F657" s="25">
        <f t="shared" si="10"/>
        <v>18235423</v>
      </c>
      <c r="G657" s="25"/>
    </row>
    <row r="658" spans="1:7">
      <c r="A658" s="159" t="s">
        <v>1134</v>
      </c>
      <c r="B658" s="159" t="s">
        <v>631</v>
      </c>
      <c r="C658" s="159" t="s">
        <v>1135</v>
      </c>
      <c r="D658" s="25">
        <v>1506646</v>
      </c>
      <c r="E658" s="25">
        <v>95854</v>
      </c>
      <c r="F658" s="25">
        <f t="shared" si="10"/>
        <v>1410792</v>
      </c>
      <c r="G658" s="25"/>
    </row>
    <row r="659" spans="1:7">
      <c r="A659" s="159" t="s">
        <v>1136</v>
      </c>
      <c r="B659" s="159" t="s">
        <v>631</v>
      </c>
      <c r="C659" s="159" t="s">
        <v>1137</v>
      </c>
      <c r="D659" s="25">
        <v>39182124</v>
      </c>
      <c r="E659" s="25">
        <v>4396040</v>
      </c>
      <c r="F659" s="25">
        <f t="shared" si="10"/>
        <v>34786084</v>
      </c>
      <c r="G659" s="25"/>
    </row>
    <row r="660" spans="1:7">
      <c r="A660" s="159" t="s">
        <v>1138</v>
      </c>
      <c r="B660" s="159" t="s">
        <v>631</v>
      </c>
      <c r="C660" s="159" t="s">
        <v>1139</v>
      </c>
      <c r="D660" s="25">
        <v>1954572</v>
      </c>
      <c r="E660" s="25">
        <v>219293</v>
      </c>
      <c r="F660" s="25">
        <f t="shared" si="10"/>
        <v>1735279</v>
      </c>
      <c r="G660" s="25"/>
    </row>
    <row r="661" spans="1:7">
      <c r="A661" s="159" t="s">
        <v>1140</v>
      </c>
      <c r="B661" s="159" t="s">
        <v>631</v>
      </c>
      <c r="C661" s="159" t="s">
        <v>1141</v>
      </c>
      <c r="D661" s="25">
        <v>55543367</v>
      </c>
      <c r="E661" s="25">
        <v>6231692</v>
      </c>
      <c r="F661" s="25">
        <f t="shared" si="10"/>
        <v>49311675</v>
      </c>
      <c r="G661" s="25"/>
    </row>
    <row r="662" spans="1:7">
      <c r="A662" s="159" t="s">
        <v>1142</v>
      </c>
      <c r="B662" s="159" t="s">
        <v>631</v>
      </c>
      <c r="C662" s="159" t="s">
        <v>1143</v>
      </c>
      <c r="D662" s="25">
        <v>45845492</v>
      </c>
      <c r="E662" s="25">
        <v>5143636</v>
      </c>
      <c r="F662" s="25">
        <f t="shared" si="10"/>
        <v>40701856</v>
      </c>
      <c r="G662" s="25"/>
    </row>
    <row r="663" spans="1:7">
      <c r="A663" s="159" t="s">
        <v>1144</v>
      </c>
      <c r="B663" s="159" t="s">
        <v>631</v>
      </c>
      <c r="C663" s="159" t="s">
        <v>1145</v>
      </c>
      <c r="D663" s="25">
        <v>4174106</v>
      </c>
      <c r="E663" s="25">
        <v>468315</v>
      </c>
      <c r="F663" s="25">
        <f t="shared" si="10"/>
        <v>3705791</v>
      </c>
      <c r="G663" s="25"/>
    </row>
    <row r="664" spans="1:7">
      <c r="A664" s="159" t="s">
        <v>1146</v>
      </c>
      <c r="B664" s="159" t="s">
        <v>631</v>
      </c>
      <c r="C664" s="159" t="s">
        <v>1147</v>
      </c>
      <c r="D664" s="25">
        <v>53243858</v>
      </c>
      <c r="E664" s="25">
        <v>5973699</v>
      </c>
      <c r="F664" s="25">
        <f t="shared" si="10"/>
        <v>47270159</v>
      </c>
      <c r="G664" s="25"/>
    </row>
    <row r="665" spans="1:7">
      <c r="A665" s="159" t="s">
        <v>1148</v>
      </c>
      <c r="B665" s="159" t="s">
        <v>631</v>
      </c>
      <c r="C665" s="159" t="s">
        <v>1147</v>
      </c>
      <c r="D665" s="25">
        <v>952634</v>
      </c>
      <c r="E665" s="25">
        <v>106879</v>
      </c>
      <c r="F665" s="25">
        <f t="shared" si="10"/>
        <v>845755</v>
      </c>
      <c r="G665" s="25"/>
    </row>
    <row r="666" spans="1:7">
      <c r="A666" s="159" t="s">
        <v>1149</v>
      </c>
      <c r="B666" s="159" t="s">
        <v>631</v>
      </c>
      <c r="C666" s="159" t="s">
        <v>1150</v>
      </c>
      <c r="D666" s="25">
        <v>3220198</v>
      </c>
      <c r="E666" s="25">
        <v>864119</v>
      </c>
      <c r="F666" s="25">
        <f t="shared" si="10"/>
        <v>2356079</v>
      </c>
      <c r="G666" s="25"/>
    </row>
    <row r="667" spans="1:7">
      <c r="A667" s="159" t="s">
        <v>1151</v>
      </c>
      <c r="B667" s="159" t="s">
        <v>631</v>
      </c>
      <c r="C667" s="159" t="s">
        <v>1152</v>
      </c>
      <c r="D667" s="25">
        <v>351518</v>
      </c>
      <c r="E667" s="25">
        <v>144123</v>
      </c>
      <c r="F667" s="25">
        <f t="shared" si="10"/>
        <v>207395</v>
      </c>
      <c r="G667" s="25"/>
    </row>
    <row r="668" spans="1:7">
      <c r="A668" s="159" t="s">
        <v>1153</v>
      </c>
      <c r="B668" s="159" t="s">
        <v>631</v>
      </c>
      <c r="C668" s="159" t="s">
        <v>1154</v>
      </c>
      <c r="D668" s="25">
        <v>351518</v>
      </c>
      <c r="E668" s="25">
        <v>144123</v>
      </c>
      <c r="F668" s="25">
        <f t="shared" si="10"/>
        <v>207395</v>
      </c>
      <c r="G668" s="25"/>
    </row>
    <row r="669" spans="1:7">
      <c r="A669" s="159" t="s">
        <v>1155</v>
      </c>
      <c r="B669" s="159" t="s">
        <v>631</v>
      </c>
      <c r="C669" s="159" t="s">
        <v>1156</v>
      </c>
      <c r="D669" s="25">
        <v>351518</v>
      </c>
      <c r="E669" s="25">
        <v>144123</v>
      </c>
      <c r="F669" s="25">
        <f t="shared" si="10"/>
        <v>207395</v>
      </c>
      <c r="G669" s="25"/>
    </row>
    <row r="670" spans="1:7">
      <c r="A670" s="159" t="s">
        <v>1157</v>
      </c>
      <c r="B670" s="159" t="s">
        <v>631</v>
      </c>
      <c r="C670" s="159" t="s">
        <v>1158</v>
      </c>
      <c r="D670" s="25">
        <v>351518</v>
      </c>
      <c r="E670" s="25">
        <v>144123</v>
      </c>
      <c r="F670" s="25">
        <f t="shared" si="10"/>
        <v>207395</v>
      </c>
      <c r="G670" s="25"/>
    </row>
    <row r="671" spans="1:7">
      <c r="A671" s="159" t="s">
        <v>1159</v>
      </c>
      <c r="B671" s="159" t="s">
        <v>631</v>
      </c>
      <c r="C671" s="159" t="s">
        <v>1160</v>
      </c>
      <c r="D671" s="25">
        <v>351518</v>
      </c>
      <c r="E671" s="25">
        <v>144123</v>
      </c>
      <c r="F671" s="25">
        <f t="shared" si="10"/>
        <v>207395</v>
      </c>
      <c r="G671" s="25"/>
    </row>
    <row r="672" spans="1:7">
      <c r="A672" s="159" t="s">
        <v>1161</v>
      </c>
      <c r="B672" s="159" t="s">
        <v>631</v>
      </c>
      <c r="C672" s="159" t="s">
        <v>1162</v>
      </c>
      <c r="D672" s="25">
        <v>351517</v>
      </c>
      <c r="E672" s="25">
        <v>144123</v>
      </c>
      <c r="F672" s="25">
        <f t="shared" si="10"/>
        <v>207394</v>
      </c>
      <c r="G672" s="25"/>
    </row>
    <row r="673" spans="1:7">
      <c r="A673" s="159" t="s">
        <v>1163</v>
      </c>
      <c r="B673" s="159" t="s">
        <v>631</v>
      </c>
      <c r="C673" s="159" t="s">
        <v>1164</v>
      </c>
      <c r="D673" s="25">
        <v>351518</v>
      </c>
      <c r="E673" s="25">
        <v>144123</v>
      </c>
      <c r="F673" s="25">
        <f t="shared" si="10"/>
        <v>207395</v>
      </c>
      <c r="G673" s="25"/>
    </row>
    <row r="674" spans="1:7">
      <c r="A674" s="159" t="s">
        <v>1165</v>
      </c>
      <c r="B674" s="159" t="s">
        <v>631</v>
      </c>
      <c r="C674" s="159" t="s">
        <v>1166</v>
      </c>
      <c r="D674" s="25">
        <v>2460625</v>
      </c>
      <c r="E674" s="25">
        <v>1008866</v>
      </c>
      <c r="F674" s="25">
        <f t="shared" si="10"/>
        <v>1451759</v>
      </c>
      <c r="G674" s="25"/>
    </row>
    <row r="675" spans="1:7">
      <c r="A675" s="159" t="s">
        <v>1167</v>
      </c>
      <c r="B675" s="159" t="s">
        <v>631</v>
      </c>
      <c r="C675" s="159" t="s">
        <v>1168</v>
      </c>
      <c r="D675" s="25">
        <v>508000</v>
      </c>
      <c r="E675" s="25">
        <v>163800</v>
      </c>
      <c r="F675" s="25">
        <f t="shared" si="10"/>
        <v>344200</v>
      </c>
      <c r="G675" s="25"/>
    </row>
    <row r="676" spans="1:7">
      <c r="A676" s="159" t="s">
        <v>1169</v>
      </c>
      <c r="B676" s="159" t="s">
        <v>631</v>
      </c>
      <c r="C676" s="159" t="s">
        <v>1170</v>
      </c>
      <c r="D676" s="25">
        <v>10173139</v>
      </c>
      <c r="E676" s="25">
        <v>647213</v>
      </c>
      <c r="F676" s="25">
        <f t="shared" si="10"/>
        <v>9525926</v>
      </c>
      <c r="G676" s="25"/>
    </row>
    <row r="677" spans="1:7">
      <c r="A677" s="159" t="s">
        <v>1171</v>
      </c>
      <c r="B677" s="159" t="s">
        <v>631</v>
      </c>
      <c r="C677" s="159" t="s">
        <v>1172</v>
      </c>
      <c r="D677" s="25">
        <v>765000</v>
      </c>
      <c r="E677" s="25">
        <v>246670</v>
      </c>
      <c r="F677" s="25">
        <f t="shared" si="10"/>
        <v>518330</v>
      </c>
      <c r="G677" s="25"/>
    </row>
    <row r="678" spans="1:7">
      <c r="A678" s="159" t="s">
        <v>1173</v>
      </c>
      <c r="B678" s="159" t="s">
        <v>1174</v>
      </c>
      <c r="C678" s="159" t="s">
        <v>1175</v>
      </c>
      <c r="D678" s="25">
        <v>263000</v>
      </c>
      <c r="E678" s="25">
        <v>55372</v>
      </c>
      <c r="F678" s="25">
        <f t="shared" si="10"/>
        <v>207628</v>
      </c>
      <c r="G678" s="25"/>
    </row>
    <row r="679" spans="1:7">
      <c r="A679" s="159" t="s">
        <v>1176</v>
      </c>
      <c r="B679" s="159" t="s">
        <v>1174</v>
      </c>
      <c r="C679" s="159" t="s">
        <v>602</v>
      </c>
      <c r="D679" s="25">
        <v>113000</v>
      </c>
      <c r="E679" s="25">
        <v>23790</v>
      </c>
      <c r="F679" s="25">
        <f t="shared" si="10"/>
        <v>89210</v>
      </c>
      <c r="G679" s="25"/>
    </row>
    <row r="680" spans="1:7">
      <c r="A680" s="159" t="s">
        <v>1177</v>
      </c>
      <c r="B680" s="159" t="s">
        <v>1174</v>
      </c>
      <c r="C680" s="159" t="s">
        <v>485</v>
      </c>
      <c r="D680" s="25">
        <v>12161132</v>
      </c>
      <c r="E680" s="25">
        <v>2310491</v>
      </c>
      <c r="F680" s="25">
        <f t="shared" si="10"/>
        <v>9850641</v>
      </c>
      <c r="G680" s="25"/>
    </row>
    <row r="681" spans="1:7">
      <c r="A681" s="159" t="s">
        <v>1178</v>
      </c>
      <c r="B681" s="159" t="s">
        <v>1174</v>
      </c>
      <c r="C681" s="159" t="s">
        <v>493</v>
      </c>
      <c r="D681" s="25">
        <v>175000</v>
      </c>
      <c r="E681" s="25">
        <v>36844</v>
      </c>
      <c r="F681" s="25">
        <f t="shared" si="10"/>
        <v>138156</v>
      </c>
      <c r="G681" s="25"/>
    </row>
    <row r="682" spans="1:7">
      <c r="A682" s="159" t="s">
        <v>1179</v>
      </c>
      <c r="B682" s="159" t="s">
        <v>1174</v>
      </c>
      <c r="C682" s="159" t="s">
        <v>493</v>
      </c>
      <c r="D682" s="25">
        <v>131000</v>
      </c>
      <c r="E682" s="25">
        <v>27574</v>
      </c>
      <c r="F682" s="25">
        <f t="shared" si="10"/>
        <v>103426</v>
      </c>
      <c r="G682" s="25"/>
    </row>
    <row r="683" spans="1:7">
      <c r="A683" s="159" t="s">
        <v>1180</v>
      </c>
      <c r="B683" s="159" t="s">
        <v>1174</v>
      </c>
      <c r="C683" s="159" t="s">
        <v>493</v>
      </c>
      <c r="D683" s="25">
        <v>782000</v>
      </c>
      <c r="E683" s="25">
        <v>164633</v>
      </c>
      <c r="F683" s="25">
        <f t="shared" si="10"/>
        <v>617367</v>
      </c>
      <c r="G683" s="25"/>
    </row>
    <row r="684" spans="1:7">
      <c r="A684" s="159" t="s">
        <v>1181</v>
      </c>
      <c r="B684" s="159" t="s">
        <v>1174</v>
      </c>
      <c r="C684" s="159" t="s">
        <v>495</v>
      </c>
      <c r="D684" s="25">
        <v>912000</v>
      </c>
      <c r="E684" s="25">
        <v>192010</v>
      </c>
      <c r="F684" s="25">
        <f t="shared" si="10"/>
        <v>719990</v>
      </c>
      <c r="G684" s="25"/>
    </row>
    <row r="685" spans="1:7">
      <c r="A685" s="159" t="s">
        <v>1182</v>
      </c>
      <c r="B685" s="159" t="s">
        <v>1174</v>
      </c>
      <c r="C685" s="159" t="s">
        <v>534</v>
      </c>
      <c r="D685" s="25">
        <v>75000</v>
      </c>
      <c r="E685" s="25">
        <v>573</v>
      </c>
      <c r="F685" s="25">
        <f t="shared" si="10"/>
        <v>74427</v>
      </c>
      <c r="G685" s="25"/>
    </row>
    <row r="686" spans="1:7">
      <c r="A686" s="159" t="s">
        <v>1183</v>
      </c>
      <c r="B686" s="159" t="s">
        <v>1174</v>
      </c>
      <c r="C686" s="159" t="s">
        <v>534</v>
      </c>
      <c r="D686" s="25">
        <v>1</v>
      </c>
      <c r="E686" s="25">
        <v>0</v>
      </c>
      <c r="F686" s="25">
        <f t="shared" si="10"/>
        <v>1</v>
      </c>
      <c r="G686" s="25"/>
    </row>
    <row r="687" spans="1:7">
      <c r="A687" s="159" t="s">
        <v>1184</v>
      </c>
      <c r="B687" s="159" t="s">
        <v>1185</v>
      </c>
      <c r="C687" s="159" t="s">
        <v>1186</v>
      </c>
      <c r="D687" s="25">
        <v>1200000</v>
      </c>
      <c r="E687" s="25">
        <v>153078</v>
      </c>
      <c r="F687" s="25">
        <f t="shared" si="10"/>
        <v>1046922</v>
      </c>
      <c r="G687" s="25">
        <v>1046922</v>
      </c>
    </row>
    <row r="688" spans="1:7">
      <c r="A688" s="159" t="s">
        <v>1187</v>
      </c>
      <c r="B688" s="159" t="s">
        <v>1185</v>
      </c>
      <c r="C688" s="159" t="s">
        <v>1188</v>
      </c>
      <c r="D688" s="25">
        <v>562500</v>
      </c>
      <c r="E688" s="25">
        <v>77675</v>
      </c>
      <c r="F688" s="25">
        <f t="shared" si="10"/>
        <v>484825</v>
      </c>
      <c r="G688" s="25">
        <v>484825</v>
      </c>
    </row>
    <row r="689" spans="1:7">
      <c r="A689" s="159" t="s">
        <v>1189</v>
      </c>
      <c r="B689" s="159" t="s">
        <v>1190</v>
      </c>
      <c r="C689" s="159" t="s">
        <v>1191</v>
      </c>
      <c r="D689" s="25">
        <v>2870000</v>
      </c>
      <c r="E689" s="25">
        <v>150734</v>
      </c>
      <c r="F689" s="25">
        <f t="shared" si="10"/>
        <v>2719266</v>
      </c>
      <c r="G689" s="25"/>
    </row>
    <row r="690" spans="1:7">
      <c r="A690" s="159" t="s">
        <v>1192</v>
      </c>
      <c r="B690" s="159" t="s">
        <v>1193</v>
      </c>
      <c r="C690" s="159" t="s">
        <v>1101</v>
      </c>
      <c r="D690" s="25">
        <v>1</v>
      </c>
      <c r="E690" s="25">
        <v>1</v>
      </c>
      <c r="F690" s="25">
        <f t="shared" si="10"/>
        <v>0</v>
      </c>
      <c r="G690" s="25"/>
    </row>
    <row r="691" spans="1:7">
      <c r="A691" s="159" t="s">
        <v>1194</v>
      </c>
      <c r="B691" s="159" t="s">
        <v>1193</v>
      </c>
      <c r="C691" s="159" t="s">
        <v>1103</v>
      </c>
      <c r="D691" s="25">
        <v>1</v>
      </c>
      <c r="E691" s="25">
        <v>1</v>
      </c>
      <c r="F691" s="25">
        <f t="shared" si="10"/>
        <v>0</v>
      </c>
      <c r="G691" s="25"/>
    </row>
    <row r="692" spans="1:7">
      <c r="A692" s="159" t="s">
        <v>1195</v>
      </c>
      <c r="B692" s="159" t="s">
        <v>1193</v>
      </c>
      <c r="C692" s="159" t="s">
        <v>1105</v>
      </c>
      <c r="D692" s="25">
        <v>1</v>
      </c>
      <c r="E692" s="25">
        <v>1</v>
      </c>
      <c r="F692" s="25">
        <f t="shared" si="10"/>
        <v>0</v>
      </c>
      <c r="G692" s="25"/>
    </row>
    <row r="693" spans="1:7">
      <c r="A693" s="159" t="s">
        <v>1196</v>
      </c>
      <c r="B693" s="159" t="s">
        <v>1193</v>
      </c>
      <c r="C693" s="159" t="s">
        <v>1107</v>
      </c>
      <c r="D693" s="25">
        <v>1</v>
      </c>
      <c r="E693" s="25">
        <v>1</v>
      </c>
      <c r="F693" s="25">
        <f t="shared" si="10"/>
        <v>0</v>
      </c>
      <c r="G693" s="25"/>
    </row>
    <row r="694" spans="1:7">
      <c r="A694" s="159" t="s">
        <v>1197</v>
      </c>
      <c r="B694" s="159" t="s">
        <v>1193</v>
      </c>
      <c r="C694" s="159" t="s">
        <v>1111</v>
      </c>
      <c r="D694" s="25">
        <v>1</v>
      </c>
      <c r="E694" s="25">
        <v>1</v>
      </c>
      <c r="F694" s="25">
        <f t="shared" si="10"/>
        <v>0</v>
      </c>
      <c r="G694" s="25"/>
    </row>
    <row r="695" spans="1:7">
      <c r="A695" s="159" t="s">
        <v>1198</v>
      </c>
      <c r="B695" s="159" t="s">
        <v>1193</v>
      </c>
      <c r="C695" s="159" t="s">
        <v>1113</v>
      </c>
      <c r="D695" s="25">
        <v>1</v>
      </c>
      <c r="E695" s="25">
        <v>1</v>
      </c>
      <c r="F695" s="25">
        <f t="shared" si="10"/>
        <v>0</v>
      </c>
      <c r="G695" s="25"/>
    </row>
    <row r="696" spans="1:7">
      <c r="A696" s="159" t="s">
        <v>1199</v>
      </c>
      <c r="B696" s="159" t="s">
        <v>1193</v>
      </c>
      <c r="C696" s="159" t="s">
        <v>1115</v>
      </c>
      <c r="D696" s="25">
        <v>1</v>
      </c>
      <c r="E696" s="25">
        <v>1</v>
      </c>
      <c r="F696" s="25">
        <f t="shared" si="10"/>
        <v>0</v>
      </c>
      <c r="G696" s="25"/>
    </row>
    <row r="697" spans="1:7">
      <c r="A697" s="159" t="s">
        <v>1200</v>
      </c>
      <c r="B697" s="159" t="s">
        <v>1193</v>
      </c>
      <c r="C697" s="159" t="s">
        <v>1117</v>
      </c>
      <c r="D697" s="25">
        <v>1</v>
      </c>
      <c r="E697" s="25">
        <v>1</v>
      </c>
      <c r="F697" s="25">
        <f t="shared" si="10"/>
        <v>0</v>
      </c>
      <c r="G697" s="25"/>
    </row>
    <row r="698" spans="1:7">
      <c r="A698" s="159" t="s">
        <v>1201</v>
      </c>
      <c r="B698" s="159" t="s">
        <v>1193</v>
      </c>
      <c r="C698" s="159" t="s">
        <v>1119</v>
      </c>
      <c r="D698" s="25">
        <v>1</v>
      </c>
      <c r="E698" s="25">
        <v>1</v>
      </c>
      <c r="F698" s="25">
        <f t="shared" si="10"/>
        <v>0</v>
      </c>
      <c r="G698" s="25"/>
    </row>
    <row r="699" spans="1:7">
      <c r="A699" s="159" t="s">
        <v>1202</v>
      </c>
      <c r="B699" s="159" t="s">
        <v>1193</v>
      </c>
      <c r="C699" s="159" t="s">
        <v>1121</v>
      </c>
      <c r="D699" s="25">
        <v>1</v>
      </c>
      <c r="E699" s="25">
        <v>1</v>
      </c>
      <c r="F699" s="25">
        <f t="shared" si="10"/>
        <v>0</v>
      </c>
      <c r="G699" s="25"/>
    </row>
    <row r="700" spans="1:7">
      <c r="A700" s="159" t="s">
        <v>1203</v>
      </c>
      <c r="B700" s="159" t="s">
        <v>1193</v>
      </c>
      <c r="C700" s="159" t="s">
        <v>1123</v>
      </c>
      <c r="D700" s="25">
        <v>1</v>
      </c>
      <c r="E700" s="25">
        <v>1</v>
      </c>
      <c r="F700" s="25">
        <f t="shared" si="10"/>
        <v>0</v>
      </c>
      <c r="G700" s="25"/>
    </row>
    <row r="701" spans="1:7">
      <c r="A701" s="159" t="s">
        <v>1204</v>
      </c>
      <c r="B701" s="159" t="s">
        <v>1193</v>
      </c>
      <c r="C701" s="159" t="s">
        <v>1125</v>
      </c>
      <c r="D701" s="25">
        <v>1</v>
      </c>
      <c r="E701" s="25">
        <v>1</v>
      </c>
      <c r="F701" s="25">
        <f t="shared" si="10"/>
        <v>0</v>
      </c>
      <c r="G701" s="25"/>
    </row>
    <row r="702" spans="1:7">
      <c r="A702" s="159" t="s">
        <v>1205</v>
      </c>
      <c r="B702" s="159" t="s">
        <v>1193</v>
      </c>
      <c r="C702" s="159" t="s">
        <v>1127</v>
      </c>
      <c r="D702" s="25">
        <v>1</v>
      </c>
      <c r="E702" s="25">
        <v>1</v>
      </c>
      <c r="F702" s="25">
        <f t="shared" si="10"/>
        <v>0</v>
      </c>
      <c r="G702" s="25"/>
    </row>
    <row r="703" spans="1:7">
      <c r="A703" s="159" t="s">
        <v>1206</v>
      </c>
      <c r="B703" s="159" t="s">
        <v>1193</v>
      </c>
      <c r="C703" s="159" t="s">
        <v>1129</v>
      </c>
      <c r="D703" s="25">
        <v>1</v>
      </c>
      <c r="E703" s="25">
        <v>1</v>
      </c>
      <c r="F703" s="25">
        <f t="shared" si="10"/>
        <v>0</v>
      </c>
      <c r="G703" s="25"/>
    </row>
    <row r="704" spans="1:7">
      <c r="A704" s="159" t="s">
        <v>1207</v>
      </c>
      <c r="B704" s="159" t="s">
        <v>1193</v>
      </c>
      <c r="C704" s="159" t="s">
        <v>1131</v>
      </c>
      <c r="D704" s="25">
        <v>1</v>
      </c>
      <c r="E704" s="25">
        <v>1</v>
      </c>
      <c r="F704" s="25">
        <f t="shared" si="10"/>
        <v>0</v>
      </c>
      <c r="G704" s="25"/>
    </row>
    <row r="705" spans="1:7">
      <c r="A705" s="159" t="s">
        <v>1208</v>
      </c>
      <c r="B705" s="159" t="s">
        <v>1193</v>
      </c>
      <c r="C705" s="159" t="s">
        <v>1133</v>
      </c>
      <c r="D705" s="25">
        <v>1</v>
      </c>
      <c r="E705" s="25">
        <v>1</v>
      </c>
      <c r="F705" s="25">
        <f t="shared" si="10"/>
        <v>0</v>
      </c>
      <c r="G705" s="25"/>
    </row>
    <row r="706" spans="1:7">
      <c r="A706" s="159" t="s">
        <v>1209</v>
      </c>
      <c r="B706" s="159" t="s">
        <v>1193</v>
      </c>
      <c r="C706" s="159" t="s">
        <v>1137</v>
      </c>
      <c r="D706" s="25">
        <v>1</v>
      </c>
      <c r="E706" s="25">
        <v>1</v>
      </c>
      <c r="F706" s="25">
        <f t="shared" si="10"/>
        <v>0</v>
      </c>
      <c r="G706" s="25"/>
    </row>
    <row r="707" spans="1:7">
      <c r="A707" s="159" t="s">
        <v>1210</v>
      </c>
      <c r="B707" s="159" t="s">
        <v>1193</v>
      </c>
      <c r="C707" s="159" t="s">
        <v>1139</v>
      </c>
      <c r="D707" s="25">
        <v>1</v>
      </c>
      <c r="E707" s="25">
        <v>1</v>
      </c>
      <c r="F707" s="25">
        <f t="shared" si="10"/>
        <v>0</v>
      </c>
      <c r="G707" s="25"/>
    </row>
    <row r="708" spans="1:7">
      <c r="A708" s="159" t="s">
        <v>1211</v>
      </c>
      <c r="B708" s="159" t="s">
        <v>1193</v>
      </c>
      <c r="C708" s="159" t="s">
        <v>1141</v>
      </c>
      <c r="D708" s="25">
        <v>1</v>
      </c>
      <c r="E708" s="25">
        <v>1</v>
      </c>
      <c r="F708" s="25">
        <f t="shared" ref="F708:F721" si="11">D708-E708</f>
        <v>0</v>
      </c>
      <c r="G708" s="25"/>
    </row>
    <row r="709" spans="1:7">
      <c r="A709" s="159" t="s">
        <v>1212</v>
      </c>
      <c r="B709" s="159" t="s">
        <v>1193</v>
      </c>
      <c r="C709" s="159" t="s">
        <v>1145</v>
      </c>
      <c r="D709" s="25">
        <v>1</v>
      </c>
      <c r="E709" s="25">
        <v>1</v>
      </c>
      <c r="F709" s="25">
        <f t="shared" si="11"/>
        <v>0</v>
      </c>
      <c r="G709" s="25"/>
    </row>
    <row r="710" spans="1:7">
      <c r="A710" s="159" t="s">
        <v>1213</v>
      </c>
      <c r="B710" s="159" t="s">
        <v>1193</v>
      </c>
      <c r="C710" s="159" t="s">
        <v>1147</v>
      </c>
      <c r="D710" s="25">
        <v>1</v>
      </c>
      <c r="E710" s="25">
        <v>1</v>
      </c>
      <c r="F710" s="25">
        <f t="shared" si="11"/>
        <v>0</v>
      </c>
      <c r="G710" s="25"/>
    </row>
    <row r="711" spans="1:7">
      <c r="A711" s="159" t="s">
        <v>1214</v>
      </c>
      <c r="B711" s="159" t="s">
        <v>1193</v>
      </c>
      <c r="C711" s="159" t="s">
        <v>1147</v>
      </c>
      <c r="D711" s="25">
        <v>1</v>
      </c>
      <c r="E711" s="25">
        <v>1</v>
      </c>
      <c r="F711" s="25">
        <f t="shared" si="11"/>
        <v>0</v>
      </c>
      <c r="G711" s="25"/>
    </row>
    <row r="712" spans="1:7">
      <c r="A712" s="159" t="s">
        <v>1215</v>
      </c>
      <c r="B712" s="159" t="s">
        <v>1193</v>
      </c>
      <c r="C712" s="159" t="s">
        <v>1150</v>
      </c>
      <c r="D712" s="25">
        <v>1</v>
      </c>
      <c r="E712" s="25">
        <v>1</v>
      </c>
      <c r="F712" s="25">
        <f t="shared" si="11"/>
        <v>0</v>
      </c>
      <c r="G712" s="25"/>
    </row>
    <row r="713" spans="1:7">
      <c r="A713" s="159" t="s">
        <v>1216</v>
      </c>
      <c r="B713" s="159" t="s">
        <v>1193</v>
      </c>
      <c r="C713" s="159" t="s">
        <v>1152</v>
      </c>
      <c r="D713" s="25">
        <v>1</v>
      </c>
      <c r="E713" s="25">
        <v>1</v>
      </c>
      <c r="F713" s="25">
        <f t="shared" si="11"/>
        <v>0</v>
      </c>
      <c r="G713" s="25"/>
    </row>
    <row r="714" spans="1:7">
      <c r="A714" s="159" t="s">
        <v>1217</v>
      </c>
      <c r="B714" s="159" t="s">
        <v>1193</v>
      </c>
      <c r="C714" s="159" t="s">
        <v>1154</v>
      </c>
      <c r="D714" s="25">
        <v>1</v>
      </c>
      <c r="E714" s="25">
        <v>1</v>
      </c>
      <c r="F714" s="25">
        <f t="shared" si="11"/>
        <v>0</v>
      </c>
      <c r="G714" s="25"/>
    </row>
    <row r="715" spans="1:7">
      <c r="A715" s="159" t="s">
        <v>1218</v>
      </c>
      <c r="B715" s="159" t="s">
        <v>1193</v>
      </c>
      <c r="C715" s="159" t="s">
        <v>1156</v>
      </c>
      <c r="D715" s="25">
        <v>1</v>
      </c>
      <c r="E715" s="25">
        <v>1</v>
      </c>
      <c r="F715" s="25">
        <f t="shared" si="11"/>
        <v>0</v>
      </c>
      <c r="G715" s="25"/>
    </row>
    <row r="716" spans="1:7">
      <c r="A716" s="159" t="s">
        <v>1219</v>
      </c>
      <c r="B716" s="159" t="s">
        <v>1193</v>
      </c>
      <c r="C716" s="159" t="s">
        <v>1158</v>
      </c>
      <c r="D716" s="25">
        <v>1</v>
      </c>
      <c r="E716" s="25">
        <v>1</v>
      </c>
      <c r="F716" s="25">
        <f t="shared" si="11"/>
        <v>0</v>
      </c>
      <c r="G716" s="25"/>
    </row>
    <row r="717" spans="1:7">
      <c r="A717" s="159" t="s">
        <v>1220</v>
      </c>
      <c r="B717" s="159" t="s">
        <v>1193</v>
      </c>
      <c r="C717" s="159" t="s">
        <v>1160</v>
      </c>
      <c r="D717" s="25">
        <v>1</v>
      </c>
      <c r="E717" s="25">
        <v>1</v>
      </c>
      <c r="F717" s="25">
        <f t="shared" si="11"/>
        <v>0</v>
      </c>
      <c r="G717" s="25"/>
    </row>
    <row r="718" spans="1:7">
      <c r="A718" s="159" t="s">
        <v>1221</v>
      </c>
      <c r="B718" s="159" t="s">
        <v>1193</v>
      </c>
      <c r="C718" s="159" t="s">
        <v>1162</v>
      </c>
      <c r="D718" s="25">
        <v>1</v>
      </c>
      <c r="E718" s="25">
        <v>1</v>
      </c>
      <c r="F718" s="25">
        <f t="shared" si="11"/>
        <v>0</v>
      </c>
      <c r="G718" s="25"/>
    </row>
    <row r="719" spans="1:7">
      <c r="A719" s="159" t="s">
        <v>1222</v>
      </c>
      <c r="B719" s="159" t="s">
        <v>1193</v>
      </c>
      <c r="C719" s="159" t="s">
        <v>1164</v>
      </c>
      <c r="D719" s="25">
        <v>1</v>
      </c>
      <c r="E719" s="25">
        <v>1</v>
      </c>
      <c r="F719" s="25">
        <f t="shared" si="11"/>
        <v>0</v>
      </c>
      <c r="G719" s="25"/>
    </row>
    <row r="720" spans="1:7">
      <c r="A720" s="159" t="s">
        <v>1223</v>
      </c>
      <c r="B720" s="159" t="s">
        <v>1193</v>
      </c>
      <c r="C720" s="159" t="s">
        <v>1166</v>
      </c>
      <c r="D720" s="25">
        <v>1</v>
      </c>
      <c r="E720" s="25">
        <v>1</v>
      </c>
      <c r="F720" s="25">
        <f t="shared" si="11"/>
        <v>0</v>
      </c>
      <c r="G720" s="25"/>
    </row>
    <row r="721" spans="1:7">
      <c r="A721" s="159" t="s">
        <v>1224</v>
      </c>
      <c r="B721" s="159" t="s">
        <v>1193</v>
      </c>
      <c r="C721" s="159" t="s">
        <v>1170</v>
      </c>
      <c r="D721" s="25">
        <v>1</v>
      </c>
      <c r="E721" s="25">
        <v>1</v>
      </c>
      <c r="F721" s="25">
        <f t="shared" si="11"/>
        <v>0</v>
      </c>
      <c r="G721" s="25"/>
    </row>
    <row r="722" spans="1:7">
      <c r="A722" s="160"/>
      <c r="B722" s="160"/>
      <c r="C722" s="160" t="s">
        <v>1350</v>
      </c>
      <c r="D722" s="157">
        <f>SUM(D3:D721)</f>
        <v>1912182195</v>
      </c>
      <c r="E722" s="157">
        <f>SUM(E3:E721)</f>
        <v>247811972</v>
      </c>
      <c r="F722" s="157">
        <f>D722-E722</f>
        <v>1664370223</v>
      </c>
      <c r="G722" s="157">
        <f>SUM(G3:G721)</f>
        <v>138478000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07"/>
  <sheetViews>
    <sheetView zoomScaleSheetLayoutView="90" workbookViewId="0">
      <pane ySplit="6" topLeftCell="A379" activePane="bottomLeft" state="frozen"/>
      <selection activeCell="B44" sqref="B44"/>
      <selection pane="bottomLeft" activeCell="C146" sqref="C146"/>
    </sheetView>
  </sheetViews>
  <sheetFormatPr defaultRowHeight="12.75"/>
  <cols>
    <col min="1" max="1" width="8.5703125" style="74" customWidth="1"/>
    <col min="2" max="2" width="7.42578125" style="120" hidden="1" customWidth="1"/>
    <col min="3" max="3" width="35.5703125" style="1" customWidth="1"/>
    <col min="4" max="4" width="10.42578125" style="3" customWidth="1"/>
    <col min="5" max="5" width="12.85546875" style="3" hidden="1" customWidth="1"/>
    <col min="6" max="6" width="10.28515625" style="3" hidden="1" customWidth="1"/>
    <col min="7" max="7" width="8.28515625" style="3" hidden="1" customWidth="1"/>
    <col min="8" max="8" width="9.85546875" style="3" hidden="1" customWidth="1"/>
    <col min="9" max="9" width="8.28515625" style="3" hidden="1" customWidth="1"/>
    <col min="10" max="10" width="9.85546875" style="3" customWidth="1"/>
    <col min="11" max="11" width="9.7109375" style="3" customWidth="1"/>
    <col min="12" max="13" width="9.85546875" style="3" customWidth="1"/>
    <col min="14" max="14" width="12.85546875" style="3" hidden="1" customWidth="1"/>
    <col min="15" max="15" width="10.28515625" style="3" hidden="1" customWidth="1"/>
    <col min="16" max="16" width="10.140625" style="3" hidden="1" customWidth="1"/>
    <col min="17" max="17" width="11.42578125" style="3" hidden="1" customWidth="1"/>
    <col min="18" max="18" width="10.140625" style="36" hidden="1" customWidth="1"/>
    <col min="19" max="19" width="11.42578125" style="3" customWidth="1"/>
    <col min="20" max="20" width="10.140625" style="3" customWidth="1"/>
    <col min="21" max="21" width="11.42578125" style="3" customWidth="1"/>
    <col min="22" max="22" width="0" style="215" hidden="1" customWidth="1"/>
    <col min="23" max="23" width="14.7109375" style="215" hidden="1" customWidth="1"/>
    <col min="24" max="25" width="0" style="215" hidden="1" customWidth="1"/>
    <col min="26" max="85" width="9.140625" style="215"/>
  </cols>
  <sheetData>
    <row r="1" spans="1:85">
      <c r="M1" s="93"/>
      <c r="N1" s="93"/>
      <c r="O1" s="93"/>
      <c r="P1" s="93"/>
      <c r="Q1" s="93"/>
      <c r="R1" s="277"/>
      <c r="S1" s="93"/>
      <c r="T1" s="93"/>
      <c r="U1" s="93" t="s">
        <v>1675</v>
      </c>
    </row>
    <row r="2" spans="1:85">
      <c r="A2" s="291" t="s">
        <v>1275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292"/>
      <c r="P2" s="215"/>
      <c r="Q2" s="215"/>
      <c r="R2" s="215"/>
      <c r="S2" s="215"/>
      <c r="T2" s="215"/>
      <c r="U2" s="215"/>
    </row>
    <row r="3" spans="1:85">
      <c r="A3" s="291" t="s">
        <v>701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15"/>
      <c r="Q3" s="215"/>
      <c r="R3" s="215"/>
      <c r="S3" s="215"/>
      <c r="T3" s="215"/>
      <c r="U3" s="215"/>
    </row>
    <row r="4" spans="1:85">
      <c r="C4" s="45"/>
      <c r="O4" s="188"/>
      <c r="P4" s="188"/>
      <c r="Q4" s="188"/>
      <c r="R4" s="278"/>
      <c r="S4" s="188"/>
      <c r="T4" s="188"/>
      <c r="U4" s="188" t="s">
        <v>1432</v>
      </c>
    </row>
    <row r="5" spans="1:85" ht="12.75" customHeight="1">
      <c r="A5" s="293" t="s">
        <v>1421</v>
      </c>
      <c r="B5" s="297" t="s">
        <v>7</v>
      </c>
      <c r="C5" s="295" t="s">
        <v>1423</v>
      </c>
      <c r="D5" s="282" t="s">
        <v>1276</v>
      </c>
      <c r="E5" s="283"/>
      <c r="F5" s="283"/>
      <c r="G5" s="283"/>
      <c r="H5" s="283"/>
      <c r="I5" s="283"/>
      <c r="J5" s="283"/>
      <c r="K5" s="283"/>
      <c r="L5" s="284"/>
      <c r="M5" s="285" t="s">
        <v>1277</v>
      </c>
      <c r="N5" s="286"/>
      <c r="O5" s="286"/>
      <c r="P5" s="286"/>
      <c r="Q5" s="286"/>
      <c r="R5" s="286"/>
      <c r="S5" s="286"/>
      <c r="T5" s="286"/>
      <c r="U5" s="287"/>
    </row>
    <row r="6" spans="1:85" ht="29.25" customHeight="1">
      <c r="A6" s="294"/>
      <c r="B6" s="298"/>
      <c r="C6" s="296"/>
      <c r="D6" s="238" t="s">
        <v>1278</v>
      </c>
      <c r="E6" s="187" t="s">
        <v>699</v>
      </c>
      <c r="F6" s="235" t="s">
        <v>698</v>
      </c>
      <c r="G6" s="235" t="s">
        <v>699</v>
      </c>
      <c r="H6" s="235" t="s">
        <v>698</v>
      </c>
      <c r="I6" s="235" t="s">
        <v>699</v>
      </c>
      <c r="J6" s="235" t="s">
        <v>698</v>
      </c>
      <c r="K6" s="234" t="s">
        <v>1689</v>
      </c>
      <c r="L6" s="235" t="s">
        <v>698</v>
      </c>
      <c r="M6" s="199" t="s">
        <v>1278</v>
      </c>
      <c r="N6" s="235" t="s">
        <v>696</v>
      </c>
      <c r="O6" s="235" t="s">
        <v>698</v>
      </c>
      <c r="P6" s="235" t="s">
        <v>696</v>
      </c>
      <c r="Q6" s="235" t="s">
        <v>698</v>
      </c>
      <c r="R6" s="235" t="s">
        <v>696</v>
      </c>
      <c r="S6" s="235" t="s">
        <v>698</v>
      </c>
      <c r="T6" s="234" t="s">
        <v>1689</v>
      </c>
      <c r="U6" s="235" t="s">
        <v>698</v>
      </c>
    </row>
    <row r="7" spans="1:85">
      <c r="A7" s="23"/>
      <c r="B7" s="121"/>
      <c r="C7" s="4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85" s="192" customFormat="1" ht="17.25" customHeight="1">
      <c r="A8" s="189"/>
      <c r="B8" s="190" t="s">
        <v>8</v>
      </c>
      <c r="C8" s="193" t="s">
        <v>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33"/>
      <c r="S8" s="191"/>
      <c r="T8" s="191"/>
      <c r="U8" s="191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</row>
    <row r="9" spans="1:85">
      <c r="A9" s="23"/>
      <c r="B9" s="121"/>
      <c r="C9" s="4" t="s">
        <v>1280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85">
      <c r="A10" s="15" t="s">
        <v>1441</v>
      </c>
      <c r="B10" s="121"/>
      <c r="C10" s="2" t="s">
        <v>1292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85">
      <c r="A11" s="23" t="s">
        <v>1454</v>
      </c>
      <c r="B11" s="121"/>
      <c r="C11" s="51" t="s">
        <v>1294</v>
      </c>
      <c r="D11" s="33">
        <v>460</v>
      </c>
      <c r="E11" s="33"/>
      <c r="F11" s="33">
        <f>D11+E11</f>
        <v>460</v>
      </c>
      <c r="G11" s="33"/>
      <c r="H11" s="33">
        <f>F11+G11</f>
        <v>460</v>
      </c>
      <c r="I11" s="33"/>
      <c r="J11" s="33">
        <f>H11+I11</f>
        <v>460</v>
      </c>
      <c r="K11" s="33">
        <v>-460</v>
      </c>
      <c r="L11" s="33">
        <f>J11+K11</f>
        <v>0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85">
      <c r="A12" s="23" t="s">
        <v>1436</v>
      </c>
      <c r="B12" s="121"/>
      <c r="C12" s="58" t="s">
        <v>1437</v>
      </c>
      <c r="D12" s="33">
        <v>124</v>
      </c>
      <c r="E12" s="33"/>
      <c r="F12" s="33">
        <f>D12+E12</f>
        <v>124</v>
      </c>
      <c r="G12" s="33"/>
      <c r="H12" s="33">
        <f>F12+G12</f>
        <v>124</v>
      </c>
      <c r="I12" s="33"/>
      <c r="J12" s="33">
        <f>H12+I12</f>
        <v>124</v>
      </c>
      <c r="K12" s="33">
        <v>-124</v>
      </c>
      <c r="L12" s="33">
        <f>J12+K12</f>
        <v>0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85">
      <c r="A13" s="23"/>
      <c r="B13" s="121"/>
      <c r="C13" s="2" t="s">
        <v>1318</v>
      </c>
      <c r="D13" s="34">
        <f t="shared" ref="D13:L13" si="0">SUM(D11:D12)</f>
        <v>584</v>
      </c>
      <c r="E13" s="34">
        <f t="shared" si="0"/>
        <v>0</v>
      </c>
      <c r="F13" s="34">
        <f t="shared" si="0"/>
        <v>584</v>
      </c>
      <c r="G13" s="34">
        <f t="shared" si="0"/>
        <v>0</v>
      </c>
      <c r="H13" s="34">
        <f t="shared" si="0"/>
        <v>584</v>
      </c>
      <c r="I13" s="34">
        <f t="shared" si="0"/>
        <v>0</v>
      </c>
      <c r="J13" s="34">
        <f t="shared" si="0"/>
        <v>584</v>
      </c>
      <c r="K13" s="34">
        <f t="shared" si="0"/>
        <v>-584</v>
      </c>
      <c r="L13" s="34">
        <f t="shared" si="0"/>
        <v>0</v>
      </c>
      <c r="M13" s="33"/>
      <c r="N13" s="33"/>
      <c r="O13" s="33"/>
      <c r="P13" s="33"/>
      <c r="Q13" s="33"/>
      <c r="R13" s="33"/>
      <c r="S13" s="33"/>
      <c r="T13" s="33"/>
      <c r="U13" s="33"/>
    </row>
    <row r="14" spans="1:85">
      <c r="A14" s="23"/>
      <c r="B14" s="121"/>
      <c r="C14" s="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85" s="192" customFormat="1" ht="17.25" customHeight="1">
      <c r="A15" s="189"/>
      <c r="B15" s="190" t="s">
        <v>9</v>
      </c>
      <c r="C15" s="193" t="s">
        <v>6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33"/>
      <c r="S15" s="191"/>
      <c r="T15" s="191"/>
      <c r="U15" s="191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</row>
    <row r="16" spans="1:85">
      <c r="A16" s="23"/>
      <c r="B16" s="121"/>
      <c r="C16" s="4" t="s">
        <v>1280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85">
      <c r="A17" s="15" t="s">
        <v>1441</v>
      </c>
      <c r="B17" s="121"/>
      <c r="C17" s="2" t="s">
        <v>1292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85">
      <c r="A18" s="23" t="s">
        <v>1454</v>
      </c>
      <c r="B18" s="121"/>
      <c r="C18" s="51" t="s">
        <v>1294</v>
      </c>
      <c r="D18" s="33">
        <v>178</v>
      </c>
      <c r="E18" s="33"/>
      <c r="F18" s="33">
        <f>D18+E18</f>
        <v>178</v>
      </c>
      <c r="G18" s="33"/>
      <c r="H18" s="33">
        <f>F18+G18</f>
        <v>178</v>
      </c>
      <c r="I18" s="33"/>
      <c r="J18" s="33">
        <f>H18+I18</f>
        <v>178</v>
      </c>
      <c r="K18" s="33">
        <v>-178</v>
      </c>
      <c r="L18" s="33">
        <f>J18+K18</f>
        <v>0</v>
      </c>
      <c r="M18" s="33"/>
      <c r="N18" s="33"/>
      <c r="O18" s="33"/>
      <c r="P18" s="33"/>
      <c r="Q18" s="33"/>
      <c r="R18" s="33"/>
      <c r="S18" s="33"/>
      <c r="T18" s="33"/>
      <c r="U18" s="33"/>
    </row>
    <row r="19" spans="1:85">
      <c r="A19" s="23" t="s">
        <v>1436</v>
      </c>
      <c r="B19" s="121"/>
      <c r="C19" s="58" t="s">
        <v>1437</v>
      </c>
      <c r="D19" s="33">
        <v>187</v>
      </c>
      <c r="E19" s="33"/>
      <c r="F19" s="33">
        <f>D19+E19</f>
        <v>187</v>
      </c>
      <c r="G19" s="33"/>
      <c r="H19" s="33">
        <f>F19+G19</f>
        <v>187</v>
      </c>
      <c r="I19" s="33"/>
      <c r="J19" s="33">
        <f>H19+I19</f>
        <v>187</v>
      </c>
      <c r="K19" s="33">
        <v>-187</v>
      </c>
      <c r="L19" s="33">
        <f>J19+K19</f>
        <v>0</v>
      </c>
      <c r="M19" s="33"/>
      <c r="N19" s="33"/>
      <c r="O19" s="33"/>
      <c r="P19" s="33"/>
      <c r="Q19" s="33"/>
      <c r="R19" s="33"/>
      <c r="S19" s="33"/>
      <c r="T19" s="33"/>
      <c r="U19" s="33"/>
    </row>
    <row r="20" spans="1:85">
      <c r="A20" s="23"/>
      <c r="B20" s="121"/>
      <c r="C20" s="2" t="s">
        <v>1318</v>
      </c>
      <c r="D20" s="34">
        <f>SUM(D18:D19)</f>
        <v>365</v>
      </c>
      <c r="E20" s="34">
        <f>SUM(E18:E19)</f>
        <v>0</v>
      </c>
      <c r="F20" s="34">
        <f>SUM(F18:F19)</f>
        <v>365</v>
      </c>
      <c r="G20" s="34"/>
      <c r="H20" s="34">
        <f>SUM(H18:H19)</f>
        <v>365</v>
      </c>
      <c r="I20" s="34"/>
      <c r="J20" s="34">
        <f>SUM(J18:J19)</f>
        <v>365</v>
      </c>
      <c r="K20" s="34">
        <f>SUM(K18:K19)</f>
        <v>-365</v>
      </c>
      <c r="L20" s="34">
        <f>SUM(L18:L19)</f>
        <v>0</v>
      </c>
      <c r="M20" s="33"/>
      <c r="N20" s="33"/>
      <c r="O20" s="33"/>
      <c r="P20" s="33"/>
      <c r="Q20" s="33"/>
      <c r="R20" s="33"/>
      <c r="S20" s="33"/>
      <c r="T20" s="33"/>
      <c r="U20" s="33"/>
    </row>
    <row r="21" spans="1:85">
      <c r="A21" s="23"/>
      <c r="B21" s="121"/>
      <c r="C21" s="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85" s="192" customFormat="1" ht="17.25" customHeight="1">
      <c r="A22" s="189"/>
      <c r="B22" s="190" t="s">
        <v>10</v>
      </c>
      <c r="C22" s="193" t="s">
        <v>0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33"/>
      <c r="S22" s="191"/>
      <c r="T22" s="191"/>
      <c r="U22" s="191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</row>
    <row r="23" spans="1:85">
      <c r="A23" s="23"/>
      <c r="B23" s="121"/>
      <c r="C23" s="4" t="s">
        <v>1280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85">
      <c r="A24" s="15" t="s">
        <v>1442</v>
      </c>
      <c r="B24" s="121"/>
      <c r="C24" s="2" t="s">
        <v>1281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85">
      <c r="A25" s="23" t="s">
        <v>1439</v>
      </c>
      <c r="B25" s="121"/>
      <c r="C25" s="58" t="s">
        <v>1281</v>
      </c>
      <c r="D25" s="33"/>
      <c r="E25" s="33"/>
      <c r="F25" s="33"/>
      <c r="G25" s="33"/>
      <c r="H25" s="33"/>
      <c r="I25" s="33"/>
      <c r="J25" s="33"/>
      <c r="K25" s="33"/>
      <c r="L25" s="33"/>
      <c r="M25" s="33">
        <v>2000</v>
      </c>
      <c r="N25" s="33"/>
      <c r="O25" s="33">
        <f>M25+N25</f>
        <v>2000</v>
      </c>
      <c r="P25" s="33"/>
      <c r="Q25" s="33">
        <f>O25+P25</f>
        <v>2000</v>
      </c>
      <c r="R25" s="33"/>
      <c r="S25" s="33">
        <f>Q25+R25</f>
        <v>2000</v>
      </c>
      <c r="T25" s="33"/>
      <c r="U25" s="33">
        <f>S25+T25</f>
        <v>2000</v>
      </c>
    </row>
    <row r="26" spans="1:85">
      <c r="A26" s="23"/>
      <c r="B26" s="121"/>
      <c r="C26" s="57" t="s">
        <v>1318</v>
      </c>
      <c r="D26" s="34"/>
      <c r="E26" s="34"/>
      <c r="F26" s="34"/>
      <c r="G26" s="34"/>
      <c r="H26" s="34"/>
      <c r="I26" s="34"/>
      <c r="J26" s="34"/>
      <c r="K26" s="34"/>
      <c r="L26" s="34"/>
      <c r="M26" s="34">
        <f t="shared" ref="M26:S26" si="1">SUM(M25)</f>
        <v>2000</v>
      </c>
      <c r="N26" s="34">
        <f t="shared" si="1"/>
        <v>0</v>
      </c>
      <c r="O26" s="34">
        <f t="shared" si="1"/>
        <v>2000</v>
      </c>
      <c r="P26" s="34">
        <f t="shared" si="1"/>
        <v>0</v>
      </c>
      <c r="Q26" s="34">
        <f t="shared" si="1"/>
        <v>2000</v>
      </c>
      <c r="R26" s="34">
        <f t="shared" si="1"/>
        <v>0</v>
      </c>
      <c r="S26" s="34">
        <f t="shared" si="1"/>
        <v>2000</v>
      </c>
      <c r="T26" s="34">
        <f>SUM(T25)</f>
        <v>0</v>
      </c>
      <c r="U26" s="34">
        <f>SUM(U25)</f>
        <v>2000</v>
      </c>
    </row>
    <row r="27" spans="1:85">
      <c r="A27" s="23"/>
      <c r="B27" s="121"/>
      <c r="C27" s="5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85" s="192" customFormat="1" ht="17.25" customHeight="1">
      <c r="A28" s="189"/>
      <c r="B28" s="190" t="s">
        <v>11</v>
      </c>
      <c r="C28" s="193" t="s">
        <v>1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33"/>
      <c r="S28" s="191"/>
      <c r="T28" s="191"/>
      <c r="U28" s="191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</row>
    <row r="29" spans="1:85">
      <c r="A29" s="23"/>
      <c r="B29" s="121"/>
      <c r="C29" s="4" t="s">
        <v>1280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85">
      <c r="A30" s="15" t="s">
        <v>1442</v>
      </c>
      <c r="B30" s="121"/>
      <c r="C30" s="2" t="s">
        <v>1281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85">
      <c r="A31" s="23" t="s">
        <v>1548</v>
      </c>
      <c r="B31" s="121"/>
      <c r="C31" s="58" t="s">
        <v>1549</v>
      </c>
      <c r="D31" s="33"/>
      <c r="E31" s="33"/>
      <c r="F31" s="33"/>
      <c r="G31" s="33"/>
      <c r="H31" s="33"/>
      <c r="I31" s="33"/>
      <c r="J31" s="33"/>
      <c r="K31" s="33"/>
      <c r="L31" s="33"/>
      <c r="M31" s="33">
        <v>4235</v>
      </c>
      <c r="N31" s="33"/>
      <c r="O31" s="33">
        <f>M31+N31</f>
        <v>4235</v>
      </c>
      <c r="P31" s="33"/>
      <c r="Q31" s="33">
        <f>O31+P31</f>
        <v>4235</v>
      </c>
      <c r="R31" s="33"/>
      <c r="S31" s="33">
        <f>Q31+R31</f>
        <v>4235</v>
      </c>
      <c r="T31" s="33"/>
      <c r="U31" s="33">
        <f>S31+T31</f>
        <v>4235</v>
      </c>
    </row>
    <row r="32" spans="1:85">
      <c r="A32" s="23"/>
      <c r="B32" s="121"/>
      <c r="C32" s="2" t="s">
        <v>1318</v>
      </c>
      <c r="D32" s="33"/>
      <c r="E32" s="33"/>
      <c r="F32" s="33"/>
      <c r="G32" s="33"/>
      <c r="H32" s="33"/>
      <c r="I32" s="33"/>
      <c r="J32" s="33"/>
      <c r="K32" s="33"/>
      <c r="L32" s="33"/>
      <c r="M32" s="34">
        <f t="shared" ref="M32:S32" si="2">SUM(M27:M31)</f>
        <v>4235</v>
      </c>
      <c r="N32" s="34">
        <f t="shared" si="2"/>
        <v>0</v>
      </c>
      <c r="O32" s="34">
        <f t="shared" si="2"/>
        <v>4235</v>
      </c>
      <c r="P32" s="34">
        <f t="shared" si="2"/>
        <v>0</v>
      </c>
      <c r="Q32" s="34">
        <f t="shared" si="2"/>
        <v>4235</v>
      </c>
      <c r="R32" s="34">
        <f t="shared" si="2"/>
        <v>0</v>
      </c>
      <c r="S32" s="34">
        <f t="shared" si="2"/>
        <v>4235</v>
      </c>
      <c r="T32" s="34">
        <f>SUM(T27:T31)</f>
        <v>0</v>
      </c>
      <c r="U32" s="34">
        <f>SUM(U27:U31)</f>
        <v>4235</v>
      </c>
    </row>
    <row r="33" spans="1:85">
      <c r="A33" s="23"/>
      <c r="B33" s="121"/>
      <c r="C33" s="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85" s="192" customFormat="1" ht="17.25" customHeight="1">
      <c r="A34" s="189"/>
      <c r="B34" s="190" t="s">
        <v>12</v>
      </c>
      <c r="C34" s="193" t="s">
        <v>13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33"/>
      <c r="S34" s="191"/>
      <c r="T34" s="191"/>
      <c r="U34" s="191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</row>
    <row r="35" spans="1:85">
      <c r="A35" s="23"/>
      <c r="B35" s="121"/>
      <c r="C35" s="4" t="s">
        <v>1280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85">
      <c r="A36" s="15" t="s">
        <v>1441</v>
      </c>
      <c r="B36" s="121"/>
      <c r="C36" s="2" t="s">
        <v>1292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85">
      <c r="A37" s="23" t="s">
        <v>1454</v>
      </c>
      <c r="B37" s="121"/>
      <c r="C37" s="51" t="s">
        <v>1294</v>
      </c>
      <c r="D37" s="33"/>
      <c r="E37" s="33"/>
      <c r="F37" s="33">
        <f>D37+E37</f>
        <v>0</v>
      </c>
      <c r="G37" s="33"/>
      <c r="H37" s="33">
        <f>F37+G37</f>
        <v>0</v>
      </c>
      <c r="I37" s="33"/>
      <c r="J37" s="33">
        <f>H37+I37</f>
        <v>0</v>
      </c>
      <c r="K37" s="33"/>
      <c r="L37" s="33">
        <f>J37+K37</f>
        <v>0</v>
      </c>
      <c r="M37" s="33"/>
      <c r="N37" s="33"/>
      <c r="O37" s="33"/>
      <c r="P37" s="33"/>
      <c r="Q37" s="33"/>
      <c r="R37" s="33"/>
      <c r="S37" s="33"/>
      <c r="T37" s="33"/>
      <c r="U37" s="33"/>
    </row>
    <row r="38" spans="1:85">
      <c r="A38" s="23" t="s">
        <v>1436</v>
      </c>
      <c r="B38" s="121"/>
      <c r="C38" s="58" t="s">
        <v>1437</v>
      </c>
      <c r="D38" s="33"/>
      <c r="E38" s="33"/>
      <c r="F38" s="33">
        <f>D38+E38</f>
        <v>0</v>
      </c>
      <c r="G38" s="33"/>
      <c r="H38" s="33">
        <f>F38+G38</f>
        <v>0</v>
      </c>
      <c r="I38" s="33"/>
      <c r="J38" s="33">
        <f>H38+I38</f>
        <v>0</v>
      </c>
      <c r="K38" s="33"/>
      <c r="L38" s="33">
        <f>J38+K38</f>
        <v>0</v>
      </c>
      <c r="M38" s="33"/>
      <c r="N38" s="33"/>
      <c r="O38" s="33"/>
      <c r="P38" s="33"/>
      <c r="Q38" s="33"/>
      <c r="R38" s="33"/>
      <c r="S38" s="33"/>
      <c r="T38" s="33"/>
      <c r="U38" s="33"/>
    </row>
    <row r="39" spans="1:85">
      <c r="A39" s="23"/>
      <c r="B39" s="121"/>
      <c r="C39" s="2" t="s">
        <v>1318</v>
      </c>
      <c r="D39" s="34">
        <f>SUM(D37:D38)</f>
        <v>0</v>
      </c>
      <c r="E39" s="34">
        <f>SUM(E37:E38)</f>
        <v>0</v>
      </c>
      <c r="F39" s="34">
        <f>SUM(F37:F38)</f>
        <v>0</v>
      </c>
      <c r="G39" s="34"/>
      <c r="H39" s="34">
        <f>SUM(H37:H38)</f>
        <v>0</v>
      </c>
      <c r="I39" s="34"/>
      <c r="J39" s="34">
        <f>SUM(J37:J38)</f>
        <v>0</v>
      </c>
      <c r="K39" s="34"/>
      <c r="L39" s="34">
        <f>SUM(L37:L38)</f>
        <v>0</v>
      </c>
      <c r="M39" s="33"/>
      <c r="N39" s="33"/>
      <c r="O39" s="33"/>
      <c r="P39" s="33"/>
      <c r="Q39" s="33"/>
      <c r="R39" s="33"/>
      <c r="S39" s="33"/>
      <c r="T39" s="33"/>
      <c r="U39" s="33"/>
    </row>
    <row r="40" spans="1:85">
      <c r="A40" s="23"/>
      <c r="B40" s="121"/>
      <c r="C40" s="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85" s="192" customFormat="1" ht="28.5" customHeight="1">
      <c r="A41" s="189"/>
      <c r="B41" s="190" t="s">
        <v>14</v>
      </c>
      <c r="C41" s="288" t="s">
        <v>15</v>
      </c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33"/>
      <c r="S41" s="191"/>
      <c r="T41" s="191"/>
      <c r="U41" s="191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</row>
    <row r="42" spans="1:85">
      <c r="A42" s="23"/>
      <c r="B42" s="121"/>
      <c r="C42" s="4" t="s">
        <v>1280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85">
      <c r="A43" s="15" t="s">
        <v>1442</v>
      </c>
      <c r="B43" s="121"/>
      <c r="C43" s="2" t="s">
        <v>1281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85">
      <c r="A44" s="23" t="s">
        <v>1439</v>
      </c>
      <c r="B44" s="121"/>
      <c r="C44" s="58" t="s">
        <v>1281</v>
      </c>
      <c r="D44" s="33"/>
      <c r="E44" s="33"/>
      <c r="F44" s="33"/>
      <c r="G44" s="33"/>
      <c r="H44" s="33"/>
      <c r="I44" s="33"/>
      <c r="J44" s="33">
        <f t="shared" ref="J44:J49" si="3">H44+I44</f>
        <v>0</v>
      </c>
      <c r="K44" s="33"/>
      <c r="L44" s="33">
        <f t="shared" ref="L44:L49" si="4">J44+K44</f>
        <v>0</v>
      </c>
      <c r="M44" s="33">
        <v>500</v>
      </c>
      <c r="N44" s="33"/>
      <c r="O44" s="33">
        <f>M44+N44</f>
        <v>500</v>
      </c>
      <c r="P44" s="33"/>
      <c r="Q44" s="33">
        <f>O44+P44</f>
        <v>500</v>
      </c>
      <c r="R44" s="33">
        <v>2503</v>
      </c>
      <c r="S44" s="33">
        <f>Q44+R44</f>
        <v>3003</v>
      </c>
      <c r="T44" s="33"/>
      <c r="U44" s="33">
        <f>S44+T44</f>
        <v>3003</v>
      </c>
    </row>
    <row r="45" spans="1:85">
      <c r="A45" s="15" t="s">
        <v>1441</v>
      </c>
      <c r="B45" s="121"/>
      <c r="C45" s="2" t="s">
        <v>1292</v>
      </c>
      <c r="D45" s="33"/>
      <c r="E45" s="33"/>
      <c r="F45" s="33"/>
      <c r="G45" s="33"/>
      <c r="H45" s="33"/>
      <c r="I45" s="33"/>
      <c r="J45" s="33">
        <f t="shared" si="3"/>
        <v>0</v>
      </c>
      <c r="K45" s="33"/>
      <c r="L45" s="33">
        <f t="shared" si="4"/>
        <v>0</v>
      </c>
      <c r="M45" s="33"/>
      <c r="N45" s="33"/>
      <c r="O45" s="33"/>
      <c r="P45" s="33"/>
      <c r="Q45" s="33"/>
      <c r="R45" s="33"/>
      <c r="S45" s="33"/>
      <c r="T45" s="33"/>
      <c r="U45" s="33"/>
    </row>
    <row r="46" spans="1:85">
      <c r="A46" s="23" t="s">
        <v>71</v>
      </c>
      <c r="B46" s="121"/>
      <c r="C46" s="51" t="s">
        <v>1293</v>
      </c>
      <c r="D46" s="33">
        <v>13564</v>
      </c>
      <c r="E46" s="33">
        <v>-380</v>
      </c>
      <c r="F46" s="33">
        <f>D46+E46</f>
        <v>13184</v>
      </c>
      <c r="G46" s="33"/>
      <c r="H46" s="33">
        <f>F46+G46</f>
        <v>13184</v>
      </c>
      <c r="I46" s="33">
        <f>2253-15</f>
        <v>2238</v>
      </c>
      <c r="J46" s="33">
        <f t="shared" si="3"/>
        <v>15422</v>
      </c>
      <c r="K46" s="33"/>
      <c r="L46" s="33">
        <f t="shared" si="4"/>
        <v>15422</v>
      </c>
      <c r="M46" s="33"/>
      <c r="N46" s="33"/>
      <c r="O46" s="33"/>
      <c r="P46" s="33"/>
      <c r="Q46" s="33"/>
      <c r="R46" s="33"/>
      <c r="S46" s="33"/>
      <c r="T46" s="33"/>
      <c r="U46" s="33"/>
    </row>
    <row r="47" spans="1:85">
      <c r="A47" s="23" t="s">
        <v>1434</v>
      </c>
      <c r="B47" s="121"/>
      <c r="C47" s="58" t="s">
        <v>1435</v>
      </c>
      <c r="D47" s="33">
        <v>3662</v>
      </c>
      <c r="E47" s="33">
        <v>-51</v>
      </c>
      <c r="F47" s="33">
        <f>D47+E47</f>
        <v>3611</v>
      </c>
      <c r="G47" s="33"/>
      <c r="H47" s="33">
        <f>F47+G47</f>
        <v>3611</v>
      </c>
      <c r="I47" s="33">
        <f>250+29</f>
        <v>279</v>
      </c>
      <c r="J47" s="33">
        <f t="shared" si="3"/>
        <v>3890</v>
      </c>
      <c r="K47" s="33"/>
      <c r="L47" s="33">
        <f t="shared" si="4"/>
        <v>3890</v>
      </c>
      <c r="M47" s="33"/>
      <c r="N47" s="33"/>
      <c r="O47" s="33"/>
      <c r="P47" s="33"/>
      <c r="Q47" s="33"/>
      <c r="R47" s="33"/>
      <c r="S47" s="33"/>
      <c r="T47" s="33"/>
      <c r="U47" s="33"/>
    </row>
    <row r="48" spans="1:85">
      <c r="A48" s="23" t="s">
        <v>1454</v>
      </c>
      <c r="B48" s="121"/>
      <c r="C48" s="51" t="s">
        <v>1294</v>
      </c>
      <c r="D48" s="33">
        <v>1942</v>
      </c>
      <c r="E48" s="33"/>
      <c r="F48" s="33">
        <f>D48+E48</f>
        <v>1942</v>
      </c>
      <c r="G48" s="33">
        <f>305+4+1193+9342+54-78</f>
        <v>10820</v>
      </c>
      <c r="H48" s="33">
        <f>F48+G48</f>
        <v>12762</v>
      </c>
      <c r="I48" s="33">
        <f>21801-5156+917+864-14</f>
        <v>18412</v>
      </c>
      <c r="J48" s="33">
        <f t="shared" si="3"/>
        <v>31174</v>
      </c>
      <c r="K48" s="33">
        <f>-1492-551</f>
        <v>-2043</v>
      </c>
      <c r="L48" s="33">
        <f t="shared" si="4"/>
        <v>29131</v>
      </c>
      <c r="M48" s="33"/>
      <c r="N48" s="33"/>
      <c r="O48" s="33"/>
      <c r="P48" s="33"/>
      <c r="Q48" s="33"/>
      <c r="R48" s="33"/>
      <c r="S48" s="33"/>
      <c r="T48" s="33"/>
      <c r="U48" s="33"/>
    </row>
    <row r="49" spans="1:85">
      <c r="A49" s="23" t="s">
        <v>1436</v>
      </c>
      <c r="B49" s="121"/>
      <c r="C49" s="58" t="s">
        <v>1437</v>
      </c>
      <c r="D49" s="33">
        <v>1694</v>
      </c>
      <c r="E49" s="33">
        <v>16000</v>
      </c>
      <c r="F49" s="33">
        <f>D49+E49</f>
        <v>17694</v>
      </c>
      <c r="G49" s="33">
        <f>670+1353+78</f>
        <v>2101</v>
      </c>
      <c r="H49" s="33">
        <f>F49+G49</f>
        <v>19795</v>
      </c>
      <c r="I49" s="33"/>
      <c r="J49" s="33">
        <f t="shared" si="3"/>
        <v>19795</v>
      </c>
      <c r="K49" s="33">
        <v>3071</v>
      </c>
      <c r="L49" s="33">
        <f t="shared" si="4"/>
        <v>22866</v>
      </c>
      <c r="M49" s="33"/>
      <c r="N49" s="33"/>
      <c r="O49" s="33"/>
      <c r="P49" s="33"/>
      <c r="Q49" s="33"/>
      <c r="R49" s="33"/>
      <c r="S49" s="33"/>
      <c r="T49" s="33"/>
      <c r="U49" s="33"/>
    </row>
    <row r="50" spans="1:85" ht="22.5">
      <c r="A50" s="15" t="s">
        <v>1442</v>
      </c>
      <c r="B50" s="121"/>
      <c r="C50" s="94" t="s">
        <v>1553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85" ht="19.5">
      <c r="A51" s="23" t="s">
        <v>1552</v>
      </c>
      <c r="B51" s="121"/>
      <c r="C51" s="60" t="s">
        <v>1553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85" ht="22.5">
      <c r="A52" s="15" t="s">
        <v>1441</v>
      </c>
      <c r="B52" s="121"/>
      <c r="C52" s="94" t="s">
        <v>1555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85" s="215" customFormat="1" ht="19.5">
      <c r="A53" s="217" t="s">
        <v>1259</v>
      </c>
      <c r="B53" s="218"/>
      <c r="C53" s="232" t="s">
        <v>1260</v>
      </c>
      <c r="D53" s="33">
        <v>18856</v>
      </c>
      <c r="E53" s="33">
        <f>2977+645</f>
        <v>3622</v>
      </c>
      <c r="F53" s="33">
        <f>D53+E53</f>
        <v>22478</v>
      </c>
      <c r="G53" s="33">
        <v>-13437</v>
      </c>
      <c r="H53" s="33">
        <f>F53+G53</f>
        <v>9041</v>
      </c>
      <c r="I53" s="33">
        <f>8893+5156</f>
        <v>14049</v>
      </c>
      <c r="J53" s="33">
        <f>H53+I53</f>
        <v>23090</v>
      </c>
      <c r="K53" s="33">
        <v>-18817</v>
      </c>
      <c r="L53" s="33">
        <f>J53+K53</f>
        <v>4273</v>
      </c>
      <c r="M53" s="33"/>
      <c r="N53" s="33"/>
      <c r="O53" s="33"/>
      <c r="P53" s="33"/>
      <c r="Q53" s="33"/>
      <c r="R53" s="33"/>
      <c r="S53" s="33"/>
      <c r="T53" s="33"/>
      <c r="U53" s="33"/>
    </row>
    <row r="54" spans="1:85" s="215" customFormat="1">
      <c r="A54" s="217" t="s">
        <v>1556</v>
      </c>
      <c r="B54" s="218"/>
      <c r="C54" s="232"/>
      <c r="D54" s="33"/>
      <c r="E54" s="33"/>
      <c r="F54" s="33"/>
      <c r="G54" s="33"/>
      <c r="H54" s="33"/>
      <c r="I54" s="33"/>
      <c r="J54" s="33"/>
      <c r="K54" s="33">
        <f>14980+9284</f>
        <v>24264</v>
      </c>
      <c r="L54" s="33">
        <f>J54+K54</f>
        <v>24264</v>
      </c>
      <c r="M54" s="33"/>
      <c r="N54" s="33"/>
      <c r="O54" s="33"/>
      <c r="P54" s="33"/>
      <c r="Q54" s="33"/>
      <c r="R54" s="33"/>
      <c r="S54" s="33"/>
      <c r="T54" s="33"/>
      <c r="U54" s="33"/>
    </row>
    <row r="55" spans="1:85">
      <c r="A55" s="15" t="s">
        <v>1557</v>
      </c>
      <c r="B55" s="121"/>
      <c r="C55" s="2" t="s">
        <v>1558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85" ht="23.25" customHeight="1">
      <c r="A56" s="90" t="s">
        <v>1438</v>
      </c>
      <c r="B56" s="122"/>
      <c r="C56" s="145" t="s">
        <v>1670</v>
      </c>
      <c r="D56" s="28"/>
      <c r="E56" s="28"/>
      <c r="F56" s="28"/>
      <c r="G56" s="28"/>
      <c r="H56" s="28"/>
      <c r="I56" s="28"/>
      <c r="J56" s="28"/>
      <c r="K56" s="28"/>
      <c r="L56" s="28"/>
      <c r="M56" s="28">
        <v>15721</v>
      </c>
      <c r="N56" s="33">
        <v>-5235</v>
      </c>
      <c r="O56" s="28">
        <f>M56+N56</f>
        <v>10486</v>
      </c>
      <c r="P56" s="28"/>
      <c r="Q56" s="28">
        <f>O56+P56</f>
        <v>10486</v>
      </c>
      <c r="R56" s="33"/>
      <c r="S56" s="28">
        <f>Q56+R56</f>
        <v>10486</v>
      </c>
      <c r="T56" s="28"/>
      <c r="U56" s="28">
        <f>S56+T56</f>
        <v>10486</v>
      </c>
    </row>
    <row r="57" spans="1:85">
      <c r="A57" s="23"/>
      <c r="B57" s="121"/>
      <c r="C57" s="2" t="s">
        <v>1318</v>
      </c>
      <c r="D57" s="34">
        <f t="shared" ref="D57:P57" si="5">SUM(D44:D56)</f>
        <v>39718</v>
      </c>
      <c r="E57" s="34">
        <f t="shared" si="5"/>
        <v>19191</v>
      </c>
      <c r="F57" s="34">
        <f t="shared" ref="F57:L57" si="6">SUM(F44:F56)</f>
        <v>58909</v>
      </c>
      <c r="G57" s="34">
        <f t="shared" si="6"/>
        <v>-516</v>
      </c>
      <c r="H57" s="34">
        <f t="shared" si="6"/>
        <v>58393</v>
      </c>
      <c r="I57" s="34">
        <f t="shared" si="6"/>
        <v>34978</v>
      </c>
      <c r="J57" s="34">
        <f t="shared" si="6"/>
        <v>93371</v>
      </c>
      <c r="K57" s="34">
        <f>SUM(K44:K56)</f>
        <v>6475</v>
      </c>
      <c r="L57" s="34">
        <f t="shared" si="6"/>
        <v>99846</v>
      </c>
      <c r="M57" s="34">
        <f t="shared" si="5"/>
        <v>16221</v>
      </c>
      <c r="N57" s="34">
        <f t="shared" si="5"/>
        <v>-5235</v>
      </c>
      <c r="O57" s="34">
        <f t="shared" si="5"/>
        <v>10986</v>
      </c>
      <c r="P57" s="34">
        <f t="shared" si="5"/>
        <v>0</v>
      </c>
      <c r="Q57" s="34">
        <f>SUM(Q44:Q56)</f>
        <v>10986</v>
      </c>
      <c r="R57" s="34">
        <f>SUM(R44:R56)</f>
        <v>2503</v>
      </c>
      <c r="S57" s="34">
        <f>SUM(S44:S56)</f>
        <v>13489</v>
      </c>
      <c r="T57" s="34">
        <f>SUM(T44:T56)</f>
        <v>0</v>
      </c>
      <c r="U57" s="34">
        <f>SUM(U44:U56)</f>
        <v>13489</v>
      </c>
    </row>
    <row r="58" spans="1:85">
      <c r="A58" s="23"/>
      <c r="B58" s="121"/>
      <c r="C58" s="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85" s="192" customFormat="1" ht="17.25" customHeight="1">
      <c r="A59" s="189"/>
      <c r="B59" s="190" t="s">
        <v>14</v>
      </c>
      <c r="C59" s="193" t="s">
        <v>16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33"/>
      <c r="S59" s="191"/>
      <c r="T59" s="191"/>
      <c r="U59" s="191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</row>
    <row r="60" spans="1:85">
      <c r="A60" s="23"/>
      <c r="B60" s="121"/>
      <c r="C60" s="4" t="s">
        <v>1280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85">
      <c r="A61" s="15" t="s">
        <v>1442</v>
      </c>
      <c r="B61" s="121"/>
      <c r="C61" s="2" t="s">
        <v>1281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85">
      <c r="A62" s="23" t="s">
        <v>1439</v>
      </c>
      <c r="B62" s="121"/>
      <c r="C62" s="58" t="s">
        <v>1281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85">
      <c r="A63" s="15" t="s">
        <v>1442</v>
      </c>
      <c r="B63" s="121"/>
      <c r="C63" s="2" t="s">
        <v>1533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85" ht="22.5">
      <c r="A64" s="23" t="s">
        <v>1642</v>
      </c>
      <c r="B64" s="121"/>
      <c r="C64" s="119" t="s">
        <v>1643</v>
      </c>
      <c r="D64" s="33"/>
      <c r="E64" s="33"/>
      <c r="F64" s="33"/>
      <c r="G64" s="33"/>
      <c r="H64" s="33"/>
      <c r="I64" s="33"/>
      <c r="J64" s="33"/>
      <c r="K64" s="33"/>
      <c r="L64" s="33"/>
      <c r="M64" s="33">
        <v>100</v>
      </c>
      <c r="N64" s="33"/>
      <c r="O64" s="33">
        <f>M64+N64</f>
        <v>100</v>
      </c>
      <c r="P64" s="33"/>
      <c r="Q64" s="33">
        <f>O64+P64</f>
        <v>100</v>
      </c>
      <c r="R64" s="33"/>
      <c r="S64" s="33">
        <f>Q64+R64</f>
        <v>100</v>
      </c>
      <c r="T64" s="33"/>
      <c r="U64" s="33">
        <f>S64+T64</f>
        <v>100</v>
      </c>
    </row>
    <row r="65" spans="1:85">
      <c r="A65" s="23" t="s">
        <v>1543</v>
      </c>
      <c r="B65" s="121"/>
      <c r="C65" s="51" t="s">
        <v>1283</v>
      </c>
      <c r="D65" s="33"/>
      <c r="E65" s="33"/>
      <c r="F65" s="33"/>
      <c r="G65" s="33"/>
      <c r="H65" s="33"/>
      <c r="I65" s="33"/>
      <c r="J65" s="33"/>
      <c r="K65" s="33"/>
      <c r="L65" s="33"/>
      <c r="M65" s="33">
        <v>2500</v>
      </c>
      <c r="N65" s="33"/>
      <c r="O65" s="33">
        <f t="shared" ref="O65:Q72" si="7">M65+N65</f>
        <v>2500</v>
      </c>
      <c r="P65" s="33"/>
      <c r="Q65" s="33">
        <f t="shared" si="7"/>
        <v>2500</v>
      </c>
      <c r="R65" s="33"/>
      <c r="S65" s="33">
        <f t="shared" ref="S65:S72" si="8">Q65+R65</f>
        <v>2500</v>
      </c>
      <c r="T65" s="33">
        <v>2587</v>
      </c>
      <c r="U65" s="33">
        <f t="shared" ref="U65:U72" si="9">S65+T65</f>
        <v>5087</v>
      </c>
    </row>
    <row r="66" spans="1:85">
      <c r="A66" s="23" t="s">
        <v>1543</v>
      </c>
      <c r="B66" s="121"/>
      <c r="C66" s="51" t="s">
        <v>1284</v>
      </c>
      <c r="D66" s="33"/>
      <c r="E66" s="33"/>
      <c r="F66" s="33"/>
      <c r="G66" s="33"/>
      <c r="H66" s="33"/>
      <c r="I66" s="33"/>
      <c r="J66" s="33"/>
      <c r="K66" s="33"/>
      <c r="L66" s="33"/>
      <c r="M66" s="33">
        <v>200</v>
      </c>
      <c r="N66" s="33"/>
      <c r="O66" s="33">
        <f t="shared" si="7"/>
        <v>200</v>
      </c>
      <c r="P66" s="33"/>
      <c r="Q66" s="33">
        <f t="shared" si="7"/>
        <v>200</v>
      </c>
      <c r="R66" s="33"/>
      <c r="S66" s="33">
        <f t="shared" si="8"/>
        <v>200</v>
      </c>
      <c r="T66" s="33">
        <v>1625</v>
      </c>
      <c r="U66" s="33">
        <f t="shared" si="9"/>
        <v>1825</v>
      </c>
    </row>
    <row r="67" spans="1:85">
      <c r="A67" s="23" t="s">
        <v>1544</v>
      </c>
      <c r="B67" s="121"/>
      <c r="C67" s="51" t="s">
        <v>1285</v>
      </c>
      <c r="D67" s="33"/>
      <c r="E67" s="33"/>
      <c r="F67" s="33"/>
      <c r="G67" s="33"/>
      <c r="H67" s="33"/>
      <c r="I67" s="33"/>
      <c r="J67" s="33"/>
      <c r="K67" s="33"/>
      <c r="L67" s="33"/>
      <c r="M67" s="33">
        <v>25000</v>
      </c>
      <c r="N67" s="33"/>
      <c r="O67" s="33">
        <f t="shared" si="7"/>
        <v>25000</v>
      </c>
      <c r="P67" s="33"/>
      <c r="Q67" s="33">
        <f t="shared" si="7"/>
        <v>25000</v>
      </c>
      <c r="R67" s="33"/>
      <c r="S67" s="33">
        <f t="shared" si="8"/>
        <v>25000</v>
      </c>
      <c r="T67" s="33"/>
      <c r="U67" s="33">
        <f t="shared" si="9"/>
        <v>25000</v>
      </c>
    </row>
    <row r="68" spans="1:85">
      <c r="A68" s="23" t="s">
        <v>1545</v>
      </c>
      <c r="B68" s="121"/>
      <c r="C68" s="51" t="s">
        <v>1316</v>
      </c>
      <c r="D68" s="33"/>
      <c r="E68" s="33"/>
      <c r="F68" s="33"/>
      <c r="G68" s="33"/>
      <c r="H68" s="33"/>
      <c r="I68" s="33"/>
      <c r="J68" s="33"/>
      <c r="K68" s="33"/>
      <c r="L68" s="33"/>
      <c r="M68" s="33">
        <v>3300</v>
      </c>
      <c r="N68" s="33"/>
      <c r="O68" s="33">
        <f t="shared" si="7"/>
        <v>3300</v>
      </c>
      <c r="P68" s="33"/>
      <c r="Q68" s="33">
        <f t="shared" si="7"/>
        <v>3300</v>
      </c>
      <c r="R68" s="33"/>
      <c r="S68" s="33">
        <f t="shared" si="8"/>
        <v>3300</v>
      </c>
      <c r="T68" s="33">
        <v>392</v>
      </c>
      <c r="U68" s="33">
        <f t="shared" si="9"/>
        <v>3692</v>
      </c>
    </row>
    <row r="69" spans="1:85">
      <c r="A69" s="23" t="s">
        <v>1547</v>
      </c>
      <c r="B69" s="121"/>
      <c r="C69" s="51" t="s">
        <v>1286</v>
      </c>
      <c r="D69" s="33"/>
      <c r="E69" s="33"/>
      <c r="F69" s="33"/>
      <c r="G69" s="33"/>
      <c r="H69" s="33"/>
      <c r="I69" s="33"/>
      <c r="J69" s="33"/>
      <c r="K69" s="33"/>
      <c r="L69" s="33"/>
      <c r="M69" s="33">
        <v>400</v>
      </c>
      <c r="N69" s="33"/>
      <c r="O69" s="33">
        <f t="shared" si="7"/>
        <v>400</v>
      </c>
      <c r="P69" s="33"/>
      <c r="Q69" s="33">
        <f t="shared" si="7"/>
        <v>400</v>
      </c>
      <c r="R69" s="33"/>
      <c r="S69" s="33">
        <f t="shared" si="8"/>
        <v>400</v>
      </c>
      <c r="T69" s="33"/>
      <c r="U69" s="33">
        <f t="shared" si="9"/>
        <v>400</v>
      </c>
    </row>
    <row r="70" spans="1:85">
      <c r="A70" s="23" t="s">
        <v>1546</v>
      </c>
      <c r="B70" s="121"/>
      <c r="C70" s="58" t="s">
        <v>1692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>
        <v>5</v>
      </c>
      <c r="U70" s="33">
        <f t="shared" si="9"/>
        <v>5</v>
      </c>
    </row>
    <row r="71" spans="1:85">
      <c r="A71" s="23" t="s">
        <v>1546</v>
      </c>
      <c r="B71" s="121"/>
      <c r="C71" s="58" t="s">
        <v>1693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>
        <v>1020</v>
      </c>
      <c r="U71" s="33">
        <f t="shared" si="9"/>
        <v>1020</v>
      </c>
    </row>
    <row r="72" spans="1:85">
      <c r="A72" s="23" t="s">
        <v>1546</v>
      </c>
      <c r="B72" s="121"/>
      <c r="C72" s="58" t="s">
        <v>1644</v>
      </c>
      <c r="D72" s="33"/>
      <c r="E72" s="33"/>
      <c r="F72" s="33"/>
      <c r="G72" s="33"/>
      <c r="H72" s="33"/>
      <c r="I72" s="33"/>
      <c r="J72" s="33"/>
      <c r="K72" s="33"/>
      <c r="L72" s="33"/>
      <c r="M72" s="33">
        <v>4500</v>
      </c>
      <c r="N72" s="33"/>
      <c r="O72" s="33">
        <f t="shared" si="7"/>
        <v>4500</v>
      </c>
      <c r="P72" s="33"/>
      <c r="Q72" s="33">
        <f t="shared" si="7"/>
        <v>4500</v>
      </c>
      <c r="R72" s="33"/>
      <c r="S72" s="33">
        <f t="shared" si="8"/>
        <v>4500</v>
      </c>
      <c r="T72" s="33"/>
      <c r="U72" s="33">
        <f t="shared" si="9"/>
        <v>4500</v>
      </c>
    </row>
    <row r="73" spans="1:85">
      <c r="A73" s="15" t="s">
        <v>1441</v>
      </c>
      <c r="B73" s="121"/>
      <c r="C73" s="2" t="s">
        <v>1292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85">
      <c r="A74" s="23" t="s">
        <v>1454</v>
      </c>
      <c r="B74" s="121"/>
      <c r="C74" s="51" t="s">
        <v>1294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85">
      <c r="A75" s="23"/>
      <c r="B75" s="121"/>
      <c r="C75" s="2" t="s">
        <v>1318</v>
      </c>
      <c r="D75" s="34">
        <f t="shared" ref="D75:P75" si="10">SUM(D62:D74)</f>
        <v>0</v>
      </c>
      <c r="E75" s="34">
        <f t="shared" si="10"/>
        <v>0</v>
      </c>
      <c r="F75" s="34">
        <f t="shared" si="10"/>
        <v>0</v>
      </c>
      <c r="G75" s="34"/>
      <c r="H75" s="34">
        <f>SUM(H62:H74)</f>
        <v>0</v>
      </c>
      <c r="I75" s="34"/>
      <c r="J75" s="34">
        <f>SUM(J62:J74)</f>
        <v>0</v>
      </c>
      <c r="K75" s="34">
        <f>SUM(K62:K74)</f>
        <v>0</v>
      </c>
      <c r="L75" s="34">
        <f>SUM(L62:L74)</f>
        <v>0</v>
      </c>
      <c r="M75" s="34">
        <f t="shared" si="10"/>
        <v>36000</v>
      </c>
      <c r="N75" s="34">
        <f t="shared" si="10"/>
        <v>0</v>
      </c>
      <c r="O75" s="34">
        <f t="shared" si="10"/>
        <v>36000</v>
      </c>
      <c r="P75" s="34">
        <f t="shared" si="10"/>
        <v>0</v>
      </c>
      <c r="Q75" s="34">
        <f>SUM(Q62:Q74)</f>
        <v>36000</v>
      </c>
      <c r="R75" s="34">
        <f>SUM(R62:R74)</f>
        <v>0</v>
      </c>
      <c r="S75" s="34">
        <f>SUM(S62:S74)</f>
        <v>36000</v>
      </c>
      <c r="T75" s="34">
        <f>SUM(T62:T74)</f>
        <v>5629</v>
      </c>
      <c r="U75" s="34">
        <f>SUM(U62:U74)</f>
        <v>41629</v>
      </c>
    </row>
    <row r="76" spans="1:85">
      <c r="A76" s="23"/>
      <c r="B76" s="121"/>
      <c r="C76" s="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85" s="192" customFormat="1" ht="17.25" customHeight="1">
      <c r="A77" s="189"/>
      <c r="B77" s="190" t="s">
        <v>17</v>
      </c>
      <c r="C77" s="193" t="s">
        <v>2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33"/>
      <c r="S77" s="191"/>
      <c r="T77" s="191"/>
      <c r="U77" s="191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</row>
    <row r="78" spans="1:85">
      <c r="A78" s="23"/>
      <c r="B78" s="121"/>
      <c r="C78" s="4" t="s">
        <v>1280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85">
      <c r="A79" s="15" t="s">
        <v>1441</v>
      </c>
      <c r="B79" s="121"/>
      <c r="C79" s="2" t="s">
        <v>1292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85">
      <c r="A80" s="23" t="s">
        <v>1454</v>
      </c>
      <c r="B80" s="121"/>
      <c r="C80" s="51" t="s">
        <v>1294</v>
      </c>
      <c r="D80" s="33">
        <v>288</v>
      </c>
      <c r="E80" s="33"/>
      <c r="F80" s="33">
        <f>D80+E80</f>
        <v>288</v>
      </c>
      <c r="G80" s="33"/>
      <c r="H80" s="33">
        <f>F80+G80</f>
        <v>288</v>
      </c>
      <c r="I80" s="33"/>
      <c r="J80" s="33">
        <f>H80+I80</f>
        <v>288</v>
      </c>
      <c r="K80" s="33"/>
      <c r="L80" s="33">
        <f>J80+K80</f>
        <v>288</v>
      </c>
      <c r="M80" s="33"/>
      <c r="N80" s="33"/>
      <c r="O80" s="33"/>
      <c r="P80" s="33"/>
      <c r="Q80" s="33"/>
      <c r="R80" s="33"/>
      <c r="S80" s="33"/>
      <c r="T80" s="33"/>
      <c r="U80" s="33"/>
    </row>
    <row r="81" spans="1:85">
      <c r="A81" s="23" t="s">
        <v>1436</v>
      </c>
      <c r="B81" s="121"/>
      <c r="C81" s="58" t="s">
        <v>1437</v>
      </c>
      <c r="D81" s="33">
        <v>78</v>
      </c>
      <c r="E81" s="33"/>
      <c r="F81" s="33">
        <f>D81+E81</f>
        <v>78</v>
      </c>
      <c r="G81" s="33"/>
      <c r="H81" s="33">
        <f>F81+G81</f>
        <v>78</v>
      </c>
      <c r="I81" s="33"/>
      <c r="J81" s="33">
        <f>H81+I81</f>
        <v>78</v>
      </c>
      <c r="K81" s="33"/>
      <c r="L81" s="33">
        <f>J81+K81</f>
        <v>78</v>
      </c>
      <c r="M81" s="33"/>
      <c r="N81" s="33"/>
      <c r="O81" s="33"/>
      <c r="P81" s="33"/>
      <c r="Q81" s="33"/>
      <c r="R81" s="33"/>
      <c r="S81" s="33"/>
      <c r="T81" s="33"/>
      <c r="U81" s="33"/>
    </row>
    <row r="82" spans="1:85">
      <c r="A82" s="23"/>
      <c r="B82" s="121"/>
      <c r="C82" s="2" t="s">
        <v>1318</v>
      </c>
      <c r="D82" s="34">
        <f>SUM(D80:D81)</f>
        <v>366</v>
      </c>
      <c r="E82" s="34">
        <f>SUM(E80:E81)</f>
        <v>0</v>
      </c>
      <c r="F82" s="34">
        <f>SUM(F80:F81)</f>
        <v>366</v>
      </c>
      <c r="G82" s="34"/>
      <c r="H82" s="34">
        <f>SUM(H80:H81)</f>
        <v>366</v>
      </c>
      <c r="I82" s="34"/>
      <c r="J82" s="34">
        <f>SUM(J80:J81)</f>
        <v>366</v>
      </c>
      <c r="K82" s="34"/>
      <c r="L82" s="34">
        <f>SUM(L80:L81)</f>
        <v>366</v>
      </c>
      <c r="M82" s="33"/>
      <c r="N82" s="33"/>
      <c r="O82" s="33"/>
      <c r="P82" s="33"/>
      <c r="Q82" s="33"/>
      <c r="R82" s="33"/>
      <c r="S82" s="33"/>
      <c r="T82" s="33"/>
      <c r="U82" s="33"/>
    </row>
    <row r="83" spans="1:85">
      <c r="A83" s="23"/>
      <c r="B83" s="121"/>
      <c r="C83" s="5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85" s="192" customFormat="1" ht="17.25" customHeight="1">
      <c r="A84" s="189"/>
      <c r="B84" s="190" t="s">
        <v>12</v>
      </c>
      <c r="C84" s="193" t="s">
        <v>3</v>
      </c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33"/>
      <c r="S84" s="191"/>
      <c r="T84" s="191"/>
      <c r="U84" s="191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</row>
    <row r="85" spans="1:85">
      <c r="A85" s="23"/>
      <c r="B85" s="121"/>
      <c r="C85" s="4" t="s">
        <v>1280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85">
      <c r="A86" s="15" t="s">
        <v>1442</v>
      </c>
      <c r="B86" s="121"/>
      <c r="C86" s="2" t="s">
        <v>1281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85">
      <c r="A87" s="23" t="s">
        <v>1439</v>
      </c>
      <c r="B87" s="121"/>
      <c r="C87" s="58" t="s">
        <v>1281</v>
      </c>
      <c r="D87" s="33"/>
      <c r="E87" s="33"/>
      <c r="F87" s="33"/>
      <c r="G87" s="33"/>
      <c r="H87" s="33"/>
      <c r="I87" s="33"/>
      <c r="J87" s="33"/>
      <c r="K87" s="33"/>
      <c r="L87" s="33"/>
      <c r="M87" s="33">
        <v>3088</v>
      </c>
      <c r="N87" s="33"/>
      <c r="O87" s="33">
        <f>M87+N87</f>
        <v>3088</v>
      </c>
      <c r="P87" s="33"/>
      <c r="Q87" s="33">
        <f>O87+P87</f>
        <v>3088</v>
      </c>
      <c r="R87" s="33"/>
      <c r="S87" s="33">
        <f>Q87+R87</f>
        <v>3088</v>
      </c>
      <c r="T87" s="33">
        <v>-3088</v>
      </c>
      <c r="U87" s="33">
        <f>S87+T87</f>
        <v>0</v>
      </c>
    </row>
    <row r="88" spans="1:85">
      <c r="A88" s="23" t="s">
        <v>1451</v>
      </c>
      <c r="B88" s="121"/>
      <c r="C88" s="58" t="s">
        <v>1550</v>
      </c>
      <c r="D88" s="33"/>
      <c r="E88" s="33"/>
      <c r="F88" s="33"/>
      <c r="G88" s="33"/>
      <c r="H88" s="33"/>
      <c r="I88" s="33"/>
      <c r="J88" s="33"/>
      <c r="K88" s="33"/>
      <c r="L88" s="33"/>
      <c r="M88" s="33">
        <v>722</v>
      </c>
      <c r="N88" s="33"/>
      <c r="O88" s="33">
        <f>M88+N88</f>
        <v>722</v>
      </c>
      <c r="P88" s="33"/>
      <c r="Q88" s="33">
        <f>O88+P88</f>
        <v>722</v>
      </c>
      <c r="R88" s="33"/>
      <c r="S88" s="33">
        <f>Q88+R88</f>
        <v>722</v>
      </c>
      <c r="T88" s="33"/>
      <c r="U88" s="33">
        <f>S88+T88</f>
        <v>722</v>
      </c>
    </row>
    <row r="89" spans="1:85" ht="22.5">
      <c r="A89" s="15" t="s">
        <v>1442</v>
      </c>
      <c r="B89" s="121"/>
      <c r="C89" s="94" t="s">
        <v>1553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85" ht="19.5">
      <c r="A90" s="23" t="s">
        <v>1552</v>
      </c>
      <c r="B90" s="121"/>
      <c r="C90" s="60" t="s">
        <v>1559</v>
      </c>
      <c r="D90" s="28"/>
      <c r="E90" s="28"/>
      <c r="F90" s="28"/>
      <c r="G90" s="28"/>
      <c r="H90" s="28"/>
      <c r="I90" s="28"/>
      <c r="J90" s="28"/>
      <c r="K90" s="28"/>
      <c r="L90" s="28"/>
      <c r="M90" s="28">
        <v>7487</v>
      </c>
      <c r="N90" s="28"/>
      <c r="O90" s="28">
        <f>M90+N90</f>
        <v>7487</v>
      </c>
      <c r="P90" s="28"/>
      <c r="Q90" s="28">
        <f>O90+P90</f>
        <v>7487</v>
      </c>
      <c r="R90" s="33"/>
      <c r="S90" s="28">
        <f>Q90+R90</f>
        <v>7487</v>
      </c>
      <c r="T90" s="28"/>
      <c r="U90" s="28">
        <f>S90+T90</f>
        <v>7487</v>
      </c>
    </row>
    <row r="91" spans="1:85">
      <c r="A91" s="15" t="s">
        <v>1441</v>
      </c>
      <c r="B91" s="121"/>
      <c r="C91" s="2" t="s">
        <v>1292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33"/>
      <c r="S91" s="28"/>
      <c r="T91" s="28"/>
      <c r="U91" s="28"/>
    </row>
    <row r="92" spans="1:85">
      <c r="A92" s="23" t="s">
        <v>1433</v>
      </c>
      <c r="B92" s="121"/>
      <c r="C92" s="51" t="s">
        <v>1293</v>
      </c>
      <c r="D92" s="28">
        <v>602</v>
      </c>
      <c r="E92" s="28"/>
      <c r="F92" s="28">
        <f>D92+E92</f>
        <v>602</v>
      </c>
      <c r="G92" s="28"/>
      <c r="H92" s="28">
        <f>F92+G92</f>
        <v>602</v>
      </c>
      <c r="I92" s="28"/>
      <c r="J92" s="28">
        <f>H92+I92</f>
        <v>602</v>
      </c>
      <c r="K92" s="28"/>
      <c r="L92" s="28">
        <f>J92+K92</f>
        <v>602</v>
      </c>
      <c r="M92" s="28"/>
      <c r="N92" s="28"/>
      <c r="O92" s="28"/>
      <c r="P92" s="28"/>
      <c r="Q92" s="28"/>
      <c r="R92" s="33"/>
      <c r="S92" s="28"/>
      <c r="T92" s="28"/>
      <c r="U92" s="28"/>
    </row>
    <row r="93" spans="1:85">
      <c r="A93" s="23" t="s">
        <v>1434</v>
      </c>
      <c r="B93" s="121"/>
      <c r="C93" s="58" t="s">
        <v>1435</v>
      </c>
      <c r="D93" s="28">
        <v>163</v>
      </c>
      <c r="E93" s="28"/>
      <c r="F93" s="28">
        <f>D93+E93</f>
        <v>163</v>
      </c>
      <c r="G93" s="28"/>
      <c r="H93" s="28">
        <f>F93+G93</f>
        <v>163</v>
      </c>
      <c r="I93" s="28"/>
      <c r="J93" s="28">
        <f>H93+I93</f>
        <v>163</v>
      </c>
      <c r="K93" s="28"/>
      <c r="L93" s="28">
        <f>J93+K93</f>
        <v>163</v>
      </c>
      <c r="M93" s="28"/>
      <c r="N93" s="28"/>
      <c r="O93" s="28"/>
      <c r="P93" s="28"/>
      <c r="Q93" s="28"/>
      <c r="R93" s="33"/>
      <c r="S93" s="28"/>
      <c r="T93" s="28"/>
      <c r="U93" s="28"/>
    </row>
    <row r="94" spans="1:85">
      <c r="A94" s="23" t="s">
        <v>1454</v>
      </c>
      <c r="B94" s="121"/>
      <c r="C94" s="51" t="s">
        <v>1294</v>
      </c>
      <c r="D94" s="28">
        <v>7844</v>
      </c>
      <c r="E94" s="28">
        <v>-2442</v>
      </c>
      <c r="F94" s="28">
        <f>D94+E94</f>
        <v>5402</v>
      </c>
      <c r="G94" s="28"/>
      <c r="H94" s="28">
        <f>F94+G94</f>
        <v>5402</v>
      </c>
      <c r="I94" s="28"/>
      <c r="J94" s="28">
        <f>H94+I94</f>
        <v>5402</v>
      </c>
      <c r="K94" s="28">
        <v>-1400</v>
      </c>
      <c r="L94" s="28">
        <f>J94+K94</f>
        <v>4002</v>
      </c>
      <c r="M94" s="28"/>
      <c r="N94" s="28"/>
      <c r="O94" s="28"/>
      <c r="P94" s="28"/>
      <c r="Q94" s="28"/>
      <c r="R94" s="33"/>
      <c r="S94" s="28"/>
      <c r="T94" s="28"/>
      <c r="U94" s="28"/>
    </row>
    <row r="95" spans="1:85">
      <c r="A95" s="23" t="s">
        <v>1436</v>
      </c>
      <c r="B95" s="121"/>
      <c r="C95" s="58" t="s">
        <v>1437</v>
      </c>
      <c r="D95" s="33">
        <v>1854</v>
      </c>
      <c r="E95" s="33"/>
      <c r="F95" s="28">
        <f>D95+E95</f>
        <v>1854</v>
      </c>
      <c r="G95" s="28"/>
      <c r="H95" s="28">
        <f>F95+G95</f>
        <v>1854</v>
      </c>
      <c r="I95" s="28"/>
      <c r="J95" s="28">
        <f>H95+I95</f>
        <v>1854</v>
      </c>
      <c r="K95" s="28">
        <v>-1765</v>
      </c>
      <c r="L95" s="28">
        <f>J95+K95</f>
        <v>89</v>
      </c>
      <c r="M95" s="33"/>
      <c r="N95" s="33"/>
      <c r="O95" s="33"/>
      <c r="P95" s="33"/>
      <c r="Q95" s="33"/>
      <c r="R95" s="33"/>
      <c r="S95" s="33"/>
      <c r="T95" s="33"/>
      <c r="U95" s="33"/>
    </row>
    <row r="96" spans="1:85">
      <c r="A96" s="23"/>
      <c r="B96" s="121"/>
      <c r="C96" s="4" t="s">
        <v>1303</v>
      </c>
      <c r="D96" s="33"/>
      <c r="E96" s="33"/>
      <c r="F96" s="28"/>
      <c r="G96" s="28"/>
      <c r="H96" s="28"/>
      <c r="I96" s="28"/>
      <c r="J96" s="28"/>
      <c r="K96" s="28"/>
      <c r="L96" s="28"/>
      <c r="M96" s="33"/>
      <c r="N96" s="33"/>
      <c r="O96" s="33"/>
      <c r="P96" s="33"/>
      <c r="Q96" s="33"/>
      <c r="R96" s="33"/>
      <c r="S96" s="33"/>
      <c r="T96" s="33"/>
      <c r="U96" s="33"/>
    </row>
    <row r="97" spans="1:85">
      <c r="A97" s="15" t="s">
        <v>1442</v>
      </c>
      <c r="B97" s="121"/>
      <c r="C97" s="2" t="s">
        <v>1304</v>
      </c>
      <c r="D97" s="33"/>
      <c r="E97" s="33"/>
      <c r="F97" s="28"/>
      <c r="G97" s="28"/>
      <c r="H97" s="28"/>
      <c r="I97" s="28"/>
      <c r="J97" s="28"/>
      <c r="K97" s="28"/>
      <c r="L97" s="28"/>
      <c r="M97" s="33"/>
      <c r="N97" s="33"/>
      <c r="O97" s="33"/>
      <c r="P97" s="33"/>
      <c r="Q97" s="33"/>
      <c r="R97" s="33"/>
      <c r="S97" s="33"/>
      <c r="T97" s="33"/>
      <c r="U97" s="33"/>
    </row>
    <row r="98" spans="1:85">
      <c r="A98" s="23" t="s">
        <v>1448</v>
      </c>
      <c r="B98" s="121"/>
      <c r="C98" s="52" t="s">
        <v>1449</v>
      </c>
      <c r="D98" s="33"/>
      <c r="E98" s="33"/>
      <c r="F98" s="28"/>
      <c r="G98" s="28"/>
      <c r="H98" s="28"/>
      <c r="I98" s="28"/>
      <c r="J98" s="28"/>
      <c r="K98" s="28"/>
      <c r="L98" s="28"/>
      <c r="M98" s="33"/>
      <c r="N98" s="33"/>
      <c r="O98" s="33"/>
      <c r="P98" s="33"/>
      <c r="Q98" s="33"/>
      <c r="R98" s="33"/>
      <c r="S98" s="33"/>
      <c r="T98" s="33"/>
      <c r="U98" s="33"/>
    </row>
    <row r="99" spans="1:85">
      <c r="A99" s="23" t="s">
        <v>1446</v>
      </c>
      <c r="B99" s="121"/>
      <c r="C99" s="60" t="s">
        <v>1560</v>
      </c>
      <c r="D99" s="33"/>
      <c r="E99" s="33"/>
      <c r="F99" s="28"/>
      <c r="G99" s="28"/>
      <c r="H99" s="28"/>
      <c r="I99" s="28"/>
      <c r="J99" s="28"/>
      <c r="K99" s="28"/>
      <c r="L99" s="28"/>
      <c r="M99" s="33"/>
      <c r="N99" s="33"/>
      <c r="O99" s="33"/>
      <c r="P99" s="33"/>
      <c r="Q99" s="33"/>
      <c r="R99" s="33"/>
      <c r="S99" s="33"/>
      <c r="T99" s="33"/>
      <c r="U99" s="33"/>
    </row>
    <row r="100" spans="1:85">
      <c r="A100" s="15" t="s">
        <v>1441</v>
      </c>
      <c r="B100" s="121"/>
      <c r="C100" s="2" t="s">
        <v>1307</v>
      </c>
      <c r="D100" s="33"/>
      <c r="E100" s="33"/>
      <c r="F100" s="28"/>
      <c r="G100" s="28"/>
      <c r="H100" s="28"/>
      <c r="I100" s="28"/>
      <c r="J100" s="28"/>
      <c r="K100" s="28"/>
      <c r="L100" s="28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85">
      <c r="A101" s="23" t="s">
        <v>1561</v>
      </c>
      <c r="B101" s="121"/>
      <c r="C101" s="52" t="s">
        <v>1309</v>
      </c>
      <c r="D101" s="33"/>
      <c r="E101" s="33"/>
      <c r="F101" s="28"/>
      <c r="G101" s="28"/>
      <c r="H101" s="28"/>
      <c r="I101" s="28"/>
      <c r="J101" s="28"/>
      <c r="K101" s="28"/>
      <c r="L101" s="28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85">
      <c r="A102" s="23" t="s">
        <v>1562</v>
      </c>
      <c r="B102" s="121"/>
      <c r="C102" s="52" t="s">
        <v>1563</v>
      </c>
      <c r="D102" s="33"/>
      <c r="E102" s="33"/>
      <c r="F102" s="28"/>
      <c r="G102" s="28"/>
      <c r="H102" s="28"/>
      <c r="I102" s="28"/>
      <c r="J102" s="28"/>
      <c r="K102" s="28"/>
      <c r="L102" s="28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85">
      <c r="A103" s="23" t="s">
        <v>1564</v>
      </c>
      <c r="B103" s="121"/>
      <c r="C103" s="52" t="s">
        <v>1565</v>
      </c>
      <c r="D103" s="33"/>
      <c r="E103" s="33"/>
      <c r="F103" s="28"/>
      <c r="G103" s="28"/>
      <c r="H103" s="28"/>
      <c r="I103" s="28"/>
      <c r="J103" s="28"/>
      <c r="K103" s="28"/>
      <c r="L103" s="28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85">
      <c r="A104" s="15" t="s">
        <v>1441</v>
      </c>
      <c r="B104" s="121"/>
      <c r="C104" s="44" t="s">
        <v>1312</v>
      </c>
      <c r="D104" s="33"/>
      <c r="E104" s="33"/>
      <c r="F104" s="28"/>
      <c r="G104" s="28"/>
      <c r="H104" s="28"/>
      <c r="I104" s="28"/>
      <c r="J104" s="28"/>
      <c r="K104" s="28"/>
      <c r="L104" s="28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85">
      <c r="A105" s="23" t="s">
        <v>1566</v>
      </c>
      <c r="B105" s="121"/>
      <c r="C105" s="52" t="s">
        <v>1567</v>
      </c>
      <c r="D105" s="33"/>
      <c r="E105" s="33"/>
      <c r="F105" s="28"/>
      <c r="G105" s="28"/>
      <c r="H105" s="28"/>
      <c r="I105" s="28"/>
      <c r="J105" s="28"/>
      <c r="K105" s="28"/>
      <c r="L105" s="28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85">
      <c r="A106" s="23"/>
      <c r="B106" s="121"/>
      <c r="C106" s="2" t="s">
        <v>1318</v>
      </c>
      <c r="D106" s="34">
        <f t="shared" ref="D106:P106" si="11">SUM(D87:D105)</f>
        <v>10463</v>
      </c>
      <c r="E106" s="34">
        <f t="shared" si="11"/>
        <v>-2442</v>
      </c>
      <c r="F106" s="34">
        <f t="shared" si="11"/>
        <v>8021</v>
      </c>
      <c r="G106" s="34"/>
      <c r="H106" s="34">
        <f>SUM(H87:H105)</f>
        <v>8021</v>
      </c>
      <c r="I106" s="34"/>
      <c r="J106" s="34">
        <f>SUM(J87:J105)</f>
        <v>8021</v>
      </c>
      <c r="K106" s="34">
        <f>SUM(K87:K105)</f>
        <v>-3165</v>
      </c>
      <c r="L106" s="34">
        <f>SUM(L87:L105)</f>
        <v>4856</v>
      </c>
      <c r="M106" s="34">
        <f t="shared" si="11"/>
        <v>11297</v>
      </c>
      <c r="N106" s="34">
        <f t="shared" si="11"/>
        <v>0</v>
      </c>
      <c r="O106" s="34">
        <f t="shared" si="11"/>
        <v>11297</v>
      </c>
      <c r="P106" s="34">
        <f t="shared" si="11"/>
        <v>0</v>
      </c>
      <c r="Q106" s="34">
        <f>SUM(Q87:Q105)</f>
        <v>11297</v>
      </c>
      <c r="R106" s="34">
        <f>SUM(R87:R105)</f>
        <v>0</v>
      </c>
      <c r="S106" s="34">
        <f>SUM(S87:S105)</f>
        <v>11297</v>
      </c>
      <c r="T106" s="34">
        <f>SUM(T87:T105)</f>
        <v>-3088</v>
      </c>
      <c r="U106" s="34">
        <f>SUM(U87:U105)</f>
        <v>8209</v>
      </c>
    </row>
    <row r="107" spans="1:85">
      <c r="A107" s="23"/>
      <c r="B107" s="121"/>
      <c r="C107" s="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85" s="192" customFormat="1" ht="17.25" customHeight="1">
      <c r="A108" s="189"/>
      <c r="B108" s="190" t="s">
        <v>18</v>
      </c>
      <c r="C108" s="193" t="s">
        <v>4</v>
      </c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33"/>
      <c r="S108" s="191"/>
      <c r="T108" s="191"/>
      <c r="U108" s="191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215"/>
    </row>
    <row r="109" spans="1:85">
      <c r="A109" s="23"/>
      <c r="B109" s="121"/>
      <c r="C109" s="4" t="s">
        <v>1280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85">
      <c r="A110" s="15" t="s">
        <v>1442</v>
      </c>
      <c r="B110" s="121"/>
      <c r="C110" s="2" t="s">
        <v>1281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85">
      <c r="A111" s="15" t="s">
        <v>1442</v>
      </c>
      <c r="B111" s="121"/>
      <c r="C111" s="68" t="s">
        <v>1430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85">
      <c r="A112" s="23" t="s">
        <v>1537</v>
      </c>
      <c r="B112" s="121"/>
      <c r="C112" s="52" t="s">
        <v>1287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>
        <v>13136</v>
      </c>
      <c r="N112" s="33"/>
      <c r="O112" s="33">
        <f t="shared" ref="O112:O126" si="12">M112+N112</f>
        <v>13136</v>
      </c>
      <c r="P112" s="33"/>
      <c r="Q112" s="33">
        <f t="shared" ref="Q112:Q126" si="13">O112+P112</f>
        <v>13136</v>
      </c>
      <c r="R112" s="33"/>
      <c r="S112" s="33">
        <f>Q112+R112</f>
        <v>13136</v>
      </c>
      <c r="T112" s="33"/>
      <c r="U112" s="33">
        <f>S112+T112</f>
        <v>13136</v>
      </c>
      <c r="V112" s="245"/>
      <c r="W112" s="245"/>
    </row>
    <row r="113" spans="1:24" ht="23.25" customHeight="1">
      <c r="A113" s="23" t="s">
        <v>1537</v>
      </c>
      <c r="B113" s="121"/>
      <c r="C113" s="55" t="s">
        <v>1289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>
        <v>1959</v>
      </c>
      <c r="N113" s="33"/>
      <c r="O113" s="33">
        <f t="shared" si="12"/>
        <v>1959</v>
      </c>
      <c r="P113" s="33"/>
      <c r="Q113" s="33">
        <f t="shared" si="13"/>
        <v>1959</v>
      </c>
      <c r="R113" s="33"/>
      <c r="S113" s="33">
        <f>Q113+R113</f>
        <v>1959</v>
      </c>
      <c r="T113" s="33"/>
      <c r="U113" s="33">
        <f>S113+T113</f>
        <v>1959</v>
      </c>
      <c r="V113" s="245"/>
      <c r="W113" s="246">
        <f>SUM(U112:U113)</f>
        <v>15095</v>
      </c>
    </row>
    <row r="114" spans="1:24" ht="34.5" customHeight="1">
      <c r="A114" s="23" t="s">
        <v>1536</v>
      </c>
      <c r="B114" s="121"/>
      <c r="C114" s="55" t="s">
        <v>1288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>
        <v>16080</v>
      </c>
      <c r="N114" s="33"/>
      <c r="O114" s="33">
        <f t="shared" si="12"/>
        <v>16080</v>
      </c>
      <c r="P114" s="33"/>
      <c r="Q114" s="33">
        <f t="shared" si="13"/>
        <v>16080</v>
      </c>
      <c r="R114" s="33"/>
      <c r="S114" s="33">
        <f t="shared" ref="S114:S130" si="14">Q114+R114</f>
        <v>16080</v>
      </c>
      <c r="T114" s="33"/>
      <c r="U114" s="33">
        <f t="shared" ref="U114:U130" si="15">S114+T114</f>
        <v>16080</v>
      </c>
      <c r="V114" s="247"/>
      <c r="W114" s="247">
        <v>16080</v>
      </c>
    </row>
    <row r="115" spans="1:24" ht="21" customHeight="1">
      <c r="A115" s="217" t="s">
        <v>1538</v>
      </c>
      <c r="B115" s="121"/>
      <c r="C115" s="55" t="s">
        <v>1290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>
        <v>11286</v>
      </c>
      <c r="N115" s="33"/>
      <c r="O115" s="33">
        <f t="shared" si="12"/>
        <v>11286</v>
      </c>
      <c r="P115" s="33"/>
      <c r="Q115" s="33">
        <f t="shared" si="13"/>
        <v>11286</v>
      </c>
      <c r="R115" s="33"/>
      <c r="S115" s="33">
        <f t="shared" si="14"/>
        <v>11286</v>
      </c>
      <c r="T115" s="33"/>
      <c r="U115" s="33">
        <f t="shared" si="15"/>
        <v>11286</v>
      </c>
      <c r="V115" s="242"/>
      <c r="W115" s="242"/>
    </row>
    <row r="116" spans="1:24" ht="21" customHeight="1">
      <c r="A116" s="217" t="s">
        <v>1538</v>
      </c>
      <c r="B116" s="121"/>
      <c r="C116" s="55" t="s">
        <v>1605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>
        <v>3950</v>
      </c>
      <c r="N116" s="33">
        <v>5790</v>
      </c>
      <c r="O116" s="33">
        <f t="shared" si="12"/>
        <v>9740</v>
      </c>
      <c r="P116" s="33">
        <v>305</v>
      </c>
      <c r="Q116" s="33">
        <f t="shared" si="13"/>
        <v>10045</v>
      </c>
      <c r="R116" s="33"/>
      <c r="S116" s="33">
        <f t="shared" si="14"/>
        <v>10045</v>
      </c>
      <c r="T116" s="33"/>
      <c r="U116" s="33">
        <f t="shared" si="15"/>
        <v>10045</v>
      </c>
      <c r="V116" s="248"/>
      <c r="W116" s="248"/>
    </row>
    <row r="117" spans="1:24" ht="22.5">
      <c r="A117" s="217" t="s">
        <v>1538</v>
      </c>
      <c r="B117" s="121"/>
      <c r="C117" s="55" t="s">
        <v>1649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>
        <v>1000</v>
      </c>
      <c r="O117" s="33">
        <f t="shared" si="12"/>
        <v>1000</v>
      </c>
      <c r="P117" s="33"/>
      <c r="Q117" s="33">
        <f t="shared" si="13"/>
        <v>1000</v>
      </c>
      <c r="R117" s="33"/>
      <c r="S117" s="33">
        <f t="shared" si="14"/>
        <v>1000</v>
      </c>
      <c r="T117" s="33"/>
      <c r="U117" s="33">
        <f t="shared" si="15"/>
        <v>1000</v>
      </c>
      <c r="V117" s="249"/>
      <c r="W117" s="249"/>
      <c r="X117" s="236"/>
    </row>
    <row r="118" spans="1:24" ht="15.75" customHeight="1">
      <c r="A118" s="217" t="s">
        <v>1538</v>
      </c>
      <c r="B118" s="121"/>
      <c r="C118" s="55" t="s">
        <v>1404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>
        <v>0</v>
      </c>
      <c r="N118" s="33">
        <v>3200</v>
      </c>
      <c r="O118" s="33">
        <f t="shared" si="12"/>
        <v>3200</v>
      </c>
      <c r="P118" s="33"/>
      <c r="Q118" s="33">
        <f t="shared" si="13"/>
        <v>3200</v>
      </c>
      <c r="R118" s="33"/>
      <c r="S118" s="33">
        <f t="shared" si="14"/>
        <v>3200</v>
      </c>
      <c r="T118" s="33"/>
      <c r="U118" s="33">
        <f t="shared" si="15"/>
        <v>3200</v>
      </c>
      <c r="V118" s="242"/>
      <c r="W118" s="248">
        <f>SUM(U115:U120)</f>
        <v>25579</v>
      </c>
    </row>
    <row r="119" spans="1:24">
      <c r="A119" s="217" t="s">
        <v>1538</v>
      </c>
      <c r="B119" s="121"/>
      <c r="C119" s="55" t="s">
        <v>1405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>
        <v>0</v>
      </c>
      <c r="N119" s="33">
        <v>1530</v>
      </c>
      <c r="O119" s="33">
        <f t="shared" si="12"/>
        <v>1530</v>
      </c>
      <c r="P119" s="33"/>
      <c r="Q119" s="33">
        <f t="shared" si="13"/>
        <v>1530</v>
      </c>
      <c r="R119" s="33"/>
      <c r="S119" s="33">
        <f t="shared" si="14"/>
        <v>1530</v>
      </c>
      <c r="T119" s="33">
        <v>-2832</v>
      </c>
      <c r="U119" s="33">
        <f t="shared" si="15"/>
        <v>-1302</v>
      </c>
      <c r="V119" s="249"/>
      <c r="W119" s="249">
        <v>25579</v>
      </c>
      <c r="X119" s="236"/>
    </row>
    <row r="120" spans="1:24">
      <c r="A120" s="217" t="s">
        <v>1538</v>
      </c>
      <c r="B120" s="121"/>
      <c r="C120" s="55" t="s">
        <v>1391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>
        <v>0</v>
      </c>
      <c r="N120" s="33">
        <v>1350</v>
      </c>
      <c r="O120" s="33">
        <f t="shared" si="12"/>
        <v>1350</v>
      </c>
      <c r="P120" s="33"/>
      <c r="Q120" s="33">
        <f t="shared" si="13"/>
        <v>1350</v>
      </c>
      <c r="R120" s="33"/>
      <c r="S120" s="33">
        <f t="shared" si="14"/>
        <v>1350</v>
      </c>
      <c r="T120" s="33"/>
      <c r="U120" s="33">
        <f t="shared" si="15"/>
        <v>1350</v>
      </c>
      <c r="V120" s="242"/>
      <c r="W120" s="248">
        <f>W119-W118</f>
        <v>0</v>
      </c>
    </row>
    <row r="121" spans="1:24" ht="22.5">
      <c r="A121" s="23" t="s">
        <v>1539</v>
      </c>
      <c r="B121" s="121"/>
      <c r="C121" s="55" t="s">
        <v>1291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>
        <v>1483</v>
      </c>
      <c r="N121" s="33"/>
      <c r="O121" s="33">
        <f t="shared" si="12"/>
        <v>1483</v>
      </c>
      <c r="P121" s="33"/>
      <c r="Q121" s="33">
        <f t="shared" si="13"/>
        <v>1483</v>
      </c>
      <c r="R121" s="33"/>
      <c r="S121" s="33">
        <f>Q121+R121</f>
        <v>1483</v>
      </c>
      <c r="T121" s="33">
        <v>1</v>
      </c>
      <c r="U121" s="33">
        <f>S121+T121</f>
        <v>1484</v>
      </c>
      <c r="V121" s="245"/>
      <c r="W121" s="246">
        <v>1484</v>
      </c>
    </row>
    <row r="122" spans="1:24" ht="33" customHeight="1">
      <c r="A122" s="23" t="s">
        <v>1540</v>
      </c>
      <c r="B122" s="121"/>
      <c r="C122" s="55" t="s">
        <v>1407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>
        <v>0</v>
      </c>
      <c r="N122" s="33">
        <v>960</v>
      </c>
      <c r="O122" s="33">
        <f t="shared" si="12"/>
        <v>960</v>
      </c>
      <c r="P122" s="33"/>
      <c r="Q122" s="33">
        <f t="shared" si="13"/>
        <v>960</v>
      </c>
      <c r="R122" s="33"/>
      <c r="S122" s="33">
        <f t="shared" si="14"/>
        <v>960</v>
      </c>
      <c r="T122" s="33">
        <v>236</v>
      </c>
      <c r="U122" s="33">
        <f t="shared" si="15"/>
        <v>1196</v>
      </c>
      <c r="V122" s="250"/>
      <c r="W122" s="250"/>
    </row>
    <row r="123" spans="1:24">
      <c r="A123" s="23" t="s">
        <v>1540</v>
      </c>
      <c r="B123" s="121"/>
      <c r="C123" s="55" t="s">
        <v>1542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>
        <v>58</v>
      </c>
      <c r="N123" s="33"/>
      <c r="O123" s="33">
        <f t="shared" si="12"/>
        <v>58</v>
      </c>
      <c r="P123" s="33"/>
      <c r="Q123" s="33">
        <f t="shared" si="13"/>
        <v>58</v>
      </c>
      <c r="R123" s="33"/>
      <c r="S123" s="33">
        <f>Q123+R123</f>
        <v>58</v>
      </c>
      <c r="T123" s="33"/>
      <c r="U123" s="33">
        <f t="shared" ref="U123:U129" si="16">S123+T123</f>
        <v>58</v>
      </c>
      <c r="V123" s="250"/>
      <c r="W123" s="250"/>
    </row>
    <row r="124" spans="1:24" ht="22.5">
      <c r="A124" s="23" t="s">
        <v>1540</v>
      </c>
      <c r="B124" s="121"/>
      <c r="C124" s="55" t="s">
        <v>1406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>
        <v>501</v>
      </c>
      <c r="N124" s="33"/>
      <c r="O124" s="33">
        <f t="shared" si="12"/>
        <v>501</v>
      </c>
      <c r="P124" s="33"/>
      <c r="Q124" s="33">
        <f t="shared" si="13"/>
        <v>501</v>
      </c>
      <c r="R124" s="33"/>
      <c r="S124" s="33">
        <f>Q124+R124</f>
        <v>501</v>
      </c>
      <c r="T124" s="33"/>
      <c r="U124" s="33">
        <f t="shared" si="16"/>
        <v>501</v>
      </c>
      <c r="V124" s="250"/>
      <c r="W124" s="250"/>
    </row>
    <row r="125" spans="1:24">
      <c r="A125" s="23" t="s">
        <v>1540</v>
      </c>
      <c r="B125" s="121"/>
      <c r="C125" s="55" t="s">
        <v>1698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>
        <v>128</v>
      </c>
      <c r="N125" s="33"/>
      <c r="O125" s="33">
        <f t="shared" si="12"/>
        <v>128</v>
      </c>
      <c r="P125" s="33"/>
      <c r="Q125" s="33">
        <f t="shared" si="13"/>
        <v>128</v>
      </c>
      <c r="R125" s="33"/>
      <c r="S125" s="33">
        <f>Q125+R125</f>
        <v>128</v>
      </c>
      <c r="T125" s="33"/>
      <c r="U125" s="33">
        <f t="shared" si="16"/>
        <v>128</v>
      </c>
      <c r="V125" s="250"/>
      <c r="W125" s="250"/>
    </row>
    <row r="126" spans="1:24" ht="15.75" customHeight="1">
      <c r="A126" s="23" t="s">
        <v>1540</v>
      </c>
      <c r="B126" s="121"/>
      <c r="C126" s="55" t="s">
        <v>1392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>
        <v>0</v>
      </c>
      <c r="N126" s="33"/>
      <c r="O126" s="33">
        <f t="shared" si="12"/>
        <v>0</v>
      </c>
      <c r="P126" s="33">
        <v>54</v>
      </c>
      <c r="Q126" s="33">
        <f t="shared" si="13"/>
        <v>54</v>
      </c>
      <c r="R126" s="33">
        <v>-54</v>
      </c>
      <c r="S126" s="33">
        <f>Q126+R126</f>
        <v>0</v>
      </c>
      <c r="T126" s="33"/>
      <c r="U126" s="33">
        <f t="shared" si="16"/>
        <v>0</v>
      </c>
      <c r="V126" s="250"/>
      <c r="W126" s="250"/>
    </row>
    <row r="127" spans="1:24" ht="15.75" customHeight="1">
      <c r="A127" s="23" t="s">
        <v>1540</v>
      </c>
      <c r="B127" s="121"/>
      <c r="C127" s="55" t="s">
        <v>1700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>
        <v>4</v>
      </c>
      <c r="U127" s="33">
        <f t="shared" si="16"/>
        <v>4</v>
      </c>
      <c r="V127" s="250"/>
      <c r="W127" s="251">
        <f>SUM(U122:U127)</f>
        <v>1887</v>
      </c>
    </row>
    <row r="128" spans="1:24" ht="22.5" customHeight="1">
      <c r="A128" s="23" t="s">
        <v>1699</v>
      </c>
      <c r="B128" s="121"/>
      <c r="C128" s="55" t="s">
        <v>1654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>
        <v>960</v>
      </c>
      <c r="O128" s="33">
        <f>M128+N128</f>
        <v>960</v>
      </c>
      <c r="P128" s="33"/>
      <c r="Q128" s="33">
        <f>O128+P128</f>
        <v>960</v>
      </c>
      <c r="R128" s="33"/>
      <c r="S128" s="33">
        <f>Q128+R128</f>
        <v>960</v>
      </c>
      <c r="T128" s="33"/>
      <c r="U128" s="33">
        <f t="shared" si="16"/>
        <v>960</v>
      </c>
      <c r="V128" s="252"/>
      <c r="W128" s="253"/>
    </row>
    <row r="129" spans="1:24" ht="18" customHeight="1">
      <c r="A129" s="23" t="s">
        <v>1672</v>
      </c>
      <c r="B129" s="121"/>
      <c r="C129" s="55" t="s">
        <v>1541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>
        <v>430</v>
      </c>
      <c r="O129" s="33">
        <f>M129+N129</f>
        <v>430</v>
      </c>
      <c r="P129" s="33"/>
      <c r="Q129" s="33">
        <f>O129+P129</f>
        <v>430</v>
      </c>
      <c r="R129" s="33">
        <f>517+637</f>
        <v>1154</v>
      </c>
      <c r="S129" s="33">
        <f>Q129+R129</f>
        <v>1584</v>
      </c>
      <c r="T129" s="33">
        <f>983-1584+1</f>
        <v>-600</v>
      </c>
      <c r="U129" s="33">
        <f t="shared" si="16"/>
        <v>984</v>
      </c>
      <c r="V129" s="252"/>
      <c r="W129" s="252"/>
    </row>
    <row r="130" spans="1:24" ht="18" customHeight="1">
      <c r="A130" s="23" t="s">
        <v>1672</v>
      </c>
      <c r="B130" s="121"/>
      <c r="C130" s="55" t="s">
        <v>1664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>
        <v>96072</v>
      </c>
      <c r="O130" s="33">
        <f>M130+N130</f>
        <v>96072</v>
      </c>
      <c r="P130" s="33">
        <v>-80321</v>
      </c>
      <c r="Q130" s="33">
        <f>O130+P130</f>
        <v>15751</v>
      </c>
      <c r="R130" s="33"/>
      <c r="S130" s="33">
        <f t="shared" si="14"/>
        <v>15751</v>
      </c>
      <c r="T130" s="33"/>
      <c r="U130" s="33">
        <f t="shared" si="15"/>
        <v>15751</v>
      </c>
      <c r="V130" s="252"/>
      <c r="W130" s="252"/>
    </row>
    <row r="131" spans="1:24" ht="18" customHeight="1">
      <c r="A131" s="23" t="s">
        <v>1672</v>
      </c>
      <c r="B131" s="121"/>
      <c r="C131" s="55" t="s">
        <v>1688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>
        <v>325</v>
      </c>
      <c r="S131" s="33">
        <f>Q131+R131</f>
        <v>325</v>
      </c>
      <c r="T131" s="33"/>
      <c r="U131" s="33">
        <f>S131+T131</f>
        <v>325</v>
      </c>
      <c r="V131" s="252"/>
    </row>
    <row r="132" spans="1:24" ht="18" customHeight="1">
      <c r="A132" s="23" t="s">
        <v>1672</v>
      </c>
      <c r="B132" s="121"/>
      <c r="C132" s="55" t="s">
        <v>1687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>
        <v>551</v>
      </c>
      <c r="S132" s="33">
        <f>Q132+R132</f>
        <v>551</v>
      </c>
      <c r="T132" s="33"/>
      <c r="U132" s="33">
        <f>S132+T132</f>
        <v>551</v>
      </c>
      <c r="V132" s="252"/>
      <c r="W132" s="252"/>
    </row>
    <row r="133" spans="1:24" ht="18" customHeight="1">
      <c r="A133" s="23" t="s">
        <v>1672</v>
      </c>
      <c r="B133" s="121"/>
      <c r="C133" s="55" t="s">
        <v>1713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>
        <v>181</v>
      </c>
      <c r="U133" s="33">
        <f>S133+T133</f>
        <v>181</v>
      </c>
      <c r="V133" s="252"/>
      <c r="W133" s="253"/>
    </row>
    <row r="134" spans="1:24" ht="18" customHeight="1">
      <c r="A134" s="23" t="s">
        <v>1672</v>
      </c>
      <c r="B134" s="121"/>
      <c r="C134" s="55" t="s">
        <v>1704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>
        <v>637</v>
      </c>
      <c r="U134" s="33">
        <f>S134+T134</f>
        <v>637</v>
      </c>
      <c r="V134" s="252"/>
      <c r="W134" s="253">
        <f>SUM(U128:U134)</f>
        <v>19389</v>
      </c>
    </row>
    <row r="135" spans="1:24" ht="22.5" customHeight="1">
      <c r="A135" s="23" t="s">
        <v>1673</v>
      </c>
      <c r="B135" s="121"/>
      <c r="C135" s="55" t="s">
        <v>1674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>
        <v>0</v>
      </c>
      <c r="O135" s="33">
        <f>M135+N135</f>
        <v>0</v>
      </c>
      <c r="P135" s="33">
        <v>80321</v>
      </c>
      <c r="Q135" s="33">
        <f>O135+P135</f>
        <v>80321</v>
      </c>
      <c r="R135" s="33">
        <v>54</v>
      </c>
      <c r="S135" s="33">
        <f>Q135+R135</f>
        <v>80375</v>
      </c>
      <c r="T135" s="33"/>
      <c r="U135" s="33">
        <f>S135+T135</f>
        <v>80375</v>
      </c>
      <c r="W135" s="239">
        <v>19389</v>
      </c>
    </row>
    <row r="136" spans="1:24" s="215" customFormat="1" ht="15.75" customHeight="1">
      <c r="A136" s="217"/>
      <c r="B136" s="218"/>
      <c r="C136" s="281" t="s">
        <v>1534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>
        <f>SUM(M112:M128)</f>
        <v>48581</v>
      </c>
      <c r="N136" s="34">
        <f t="shared" ref="N136:U136" si="17">SUM(N112:N135)</f>
        <v>111292</v>
      </c>
      <c r="O136" s="34">
        <f t="shared" si="17"/>
        <v>159873</v>
      </c>
      <c r="P136" s="34">
        <f t="shared" si="17"/>
        <v>359</v>
      </c>
      <c r="Q136" s="34">
        <f t="shared" si="17"/>
        <v>160232</v>
      </c>
      <c r="R136" s="34">
        <f t="shared" si="17"/>
        <v>2030</v>
      </c>
      <c r="S136" s="34">
        <f t="shared" si="17"/>
        <v>162262</v>
      </c>
      <c r="T136" s="34">
        <f t="shared" si="17"/>
        <v>-2373</v>
      </c>
      <c r="U136" s="34">
        <f t="shared" si="17"/>
        <v>159889</v>
      </c>
      <c r="W136" s="239">
        <f>W134-W135</f>
        <v>0</v>
      </c>
    </row>
    <row r="137" spans="1:24" ht="22.5">
      <c r="A137" s="15" t="s">
        <v>1442</v>
      </c>
      <c r="B137" s="121"/>
      <c r="C137" s="94" t="s">
        <v>1553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4">
      <c r="A138" s="90" t="s">
        <v>1552</v>
      </c>
      <c r="B138" s="122"/>
      <c r="C138" s="98" t="s">
        <v>1691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>
        <f>7445-3778</f>
        <v>3667</v>
      </c>
      <c r="U138" s="33">
        <f t="shared" ref="U138:U144" si="18">S138+T138</f>
        <v>3667</v>
      </c>
      <c r="V138" s="216" t="s">
        <v>1701</v>
      </c>
      <c r="X138" s="215">
        <v>7445</v>
      </c>
    </row>
    <row r="139" spans="1:24">
      <c r="A139" s="90" t="s">
        <v>1552</v>
      </c>
      <c r="B139" s="122"/>
      <c r="C139" s="98" t="s">
        <v>1690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>
        <v>1130</v>
      </c>
      <c r="U139" s="33">
        <f t="shared" si="18"/>
        <v>1130</v>
      </c>
      <c r="V139" s="216" t="s">
        <v>1701</v>
      </c>
      <c r="X139" s="215">
        <v>1130</v>
      </c>
    </row>
    <row r="140" spans="1:24" s="215" customFormat="1">
      <c r="A140" s="217" t="s">
        <v>72</v>
      </c>
      <c r="B140" s="218"/>
      <c r="C140" s="56" t="s">
        <v>1680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>
        <v>0</v>
      </c>
      <c r="N140" s="33"/>
      <c r="O140" s="33"/>
      <c r="P140" s="33">
        <v>4</v>
      </c>
      <c r="Q140" s="33">
        <f>M140+P140</f>
        <v>4</v>
      </c>
      <c r="R140" s="33"/>
      <c r="S140" s="33">
        <f t="shared" ref="S140:S146" si="19">Q140+R140</f>
        <v>4</v>
      </c>
      <c r="T140" s="33">
        <v>-4</v>
      </c>
      <c r="U140" s="33">
        <f>Q140+T140</f>
        <v>0</v>
      </c>
    </row>
    <row r="141" spans="1:24">
      <c r="A141" s="123" t="s">
        <v>1442</v>
      </c>
      <c r="B141" s="122"/>
      <c r="C141" s="100" t="s">
        <v>1612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>
        <f t="shared" si="19"/>
        <v>0</v>
      </c>
      <c r="T141" s="33"/>
      <c r="U141" s="33">
        <f t="shared" si="18"/>
        <v>0</v>
      </c>
    </row>
    <row r="142" spans="1:24">
      <c r="A142" s="90" t="s">
        <v>1445</v>
      </c>
      <c r="B142" s="122"/>
      <c r="C142" s="101" t="s">
        <v>1606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>
        <v>0</v>
      </c>
      <c r="N142" s="33"/>
      <c r="O142" s="33"/>
      <c r="P142" s="33"/>
      <c r="Q142" s="33"/>
      <c r="R142" s="33"/>
      <c r="S142" s="33">
        <f t="shared" si="19"/>
        <v>0</v>
      </c>
      <c r="T142" s="33">
        <v>20</v>
      </c>
      <c r="U142" s="33">
        <f t="shared" si="18"/>
        <v>20</v>
      </c>
    </row>
    <row r="143" spans="1:24">
      <c r="A143" s="23"/>
      <c r="B143" s="121"/>
      <c r="C143" s="4" t="s">
        <v>1303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>
        <f t="shared" si="19"/>
        <v>0</v>
      </c>
      <c r="T143" s="33"/>
      <c r="U143" s="33">
        <f t="shared" si="18"/>
        <v>0</v>
      </c>
    </row>
    <row r="144" spans="1:24">
      <c r="A144" s="15" t="s">
        <v>1442</v>
      </c>
      <c r="B144" s="121"/>
      <c r="C144" s="2" t="s">
        <v>1304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>
        <f t="shared" si="19"/>
        <v>0</v>
      </c>
      <c r="T144" s="33"/>
      <c r="U144" s="33">
        <f t="shared" si="18"/>
        <v>0</v>
      </c>
    </row>
    <row r="145" spans="1:85" ht="25.5" customHeight="1">
      <c r="A145" s="23" t="s">
        <v>1551</v>
      </c>
      <c r="B145" s="121"/>
      <c r="C145" s="55" t="s">
        <v>1319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28">
        <v>84768</v>
      </c>
      <c r="N145" s="28">
        <v>-84768</v>
      </c>
      <c r="O145" s="33">
        <f>M145+N145</f>
        <v>0</v>
      </c>
      <c r="P145" s="33"/>
      <c r="Q145" s="33">
        <f>O145+P145</f>
        <v>0</v>
      </c>
      <c r="R145" s="33"/>
      <c r="S145" s="33">
        <f t="shared" si="19"/>
        <v>0</v>
      </c>
      <c r="T145" s="33"/>
      <c r="U145" s="33">
        <f>S145+T145</f>
        <v>0</v>
      </c>
    </row>
    <row r="146" spans="1:85">
      <c r="A146" s="23" t="s">
        <v>1551</v>
      </c>
      <c r="B146" s="121"/>
      <c r="C146" s="52" t="s">
        <v>1320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28">
        <v>6000</v>
      </c>
      <c r="N146" s="33">
        <f>-6000</f>
        <v>-6000</v>
      </c>
      <c r="O146" s="33">
        <f>M146+N146</f>
        <v>0</v>
      </c>
      <c r="P146" s="33"/>
      <c r="Q146" s="33">
        <f>O146+P146</f>
        <v>0</v>
      </c>
      <c r="R146" s="33"/>
      <c r="S146" s="33">
        <f t="shared" si="19"/>
        <v>0</v>
      </c>
      <c r="T146" s="33"/>
      <c r="U146" s="33">
        <f>S146+T146</f>
        <v>0</v>
      </c>
    </row>
    <row r="147" spans="1:85">
      <c r="A147" s="23" t="s">
        <v>1702</v>
      </c>
      <c r="B147" s="121"/>
      <c r="C147" s="52" t="s">
        <v>1703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28"/>
      <c r="N147" s="33"/>
      <c r="O147" s="33"/>
      <c r="P147" s="33"/>
      <c r="Q147" s="33"/>
      <c r="R147" s="33"/>
      <c r="S147" s="33"/>
      <c r="T147" s="33">
        <v>100</v>
      </c>
      <c r="U147" s="33">
        <f>S147+T147</f>
        <v>100</v>
      </c>
      <c r="V147" s="216"/>
    </row>
    <row r="148" spans="1:85" ht="22.5">
      <c r="A148" s="23" t="s">
        <v>1694</v>
      </c>
      <c r="B148" s="121"/>
      <c r="C148" s="55" t="s">
        <v>1244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28">
        <v>9209</v>
      </c>
      <c r="N148" s="28"/>
      <c r="O148" s="33">
        <f>M148+N148</f>
        <v>9209</v>
      </c>
      <c r="P148" s="33"/>
      <c r="Q148" s="33">
        <f>O148+P148</f>
        <v>9209</v>
      </c>
      <c r="R148" s="33"/>
      <c r="S148" s="33">
        <f>Q148+R148</f>
        <v>9209</v>
      </c>
      <c r="T148" s="33">
        <v>6693</v>
      </c>
      <c r="U148" s="33">
        <f>S148+T148</f>
        <v>15902</v>
      </c>
      <c r="X148" s="239">
        <f>SUM(M145:M148)</f>
        <v>99977</v>
      </c>
    </row>
    <row r="149" spans="1:85">
      <c r="A149" s="23"/>
      <c r="B149" s="121"/>
      <c r="C149" s="2" t="s">
        <v>1318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4">
        <f t="shared" ref="M149:S149" si="20">SUM(M136:M148)</f>
        <v>148558</v>
      </c>
      <c r="N149" s="34">
        <f t="shared" si="20"/>
        <v>20524</v>
      </c>
      <c r="O149" s="34">
        <f t="shared" si="20"/>
        <v>169082</v>
      </c>
      <c r="P149" s="34">
        <f t="shared" si="20"/>
        <v>363</v>
      </c>
      <c r="Q149" s="34">
        <f t="shared" si="20"/>
        <v>169445</v>
      </c>
      <c r="R149" s="34">
        <f t="shared" si="20"/>
        <v>2030</v>
      </c>
      <c r="S149" s="34">
        <f t="shared" si="20"/>
        <v>171475</v>
      </c>
      <c r="T149" s="34">
        <f>SUM(T136:T148)</f>
        <v>9233</v>
      </c>
      <c r="U149" s="34">
        <f>SUM(U136:U148)</f>
        <v>180708</v>
      </c>
    </row>
    <row r="150" spans="1:85">
      <c r="A150" s="23"/>
      <c r="B150" s="121"/>
      <c r="C150" s="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1:85" s="192" customFormat="1" ht="17.25" customHeight="1">
      <c r="A151" s="189"/>
      <c r="B151" s="190" t="s">
        <v>19</v>
      </c>
      <c r="C151" s="193" t="s">
        <v>20</v>
      </c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33"/>
      <c r="S151" s="191"/>
      <c r="T151" s="191"/>
      <c r="U151" s="191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</row>
    <row r="152" spans="1:85">
      <c r="A152" s="15" t="s">
        <v>1441</v>
      </c>
      <c r="B152" s="121"/>
      <c r="C152" s="4" t="s">
        <v>1576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85">
      <c r="A153" s="23" t="s">
        <v>1615</v>
      </c>
      <c r="B153" s="121"/>
      <c r="C153" s="65" t="s">
        <v>1616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</row>
    <row r="154" spans="1:85">
      <c r="A154" s="23" t="s">
        <v>1569</v>
      </c>
      <c r="B154" s="121"/>
      <c r="C154" s="66" t="s">
        <v>1301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85">
      <c r="A155" s="15" t="s">
        <v>1442</v>
      </c>
      <c r="B155" s="121"/>
      <c r="C155" s="68" t="s">
        <v>1577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</row>
    <row r="156" spans="1:85" ht="19.5">
      <c r="A156" s="90" t="s">
        <v>1574</v>
      </c>
      <c r="B156" s="122"/>
      <c r="C156" s="145" t="s">
        <v>1575</v>
      </c>
      <c r="D156" s="28"/>
      <c r="E156" s="28"/>
      <c r="F156" s="28"/>
      <c r="G156" s="28"/>
      <c r="H156" s="28"/>
      <c r="I156" s="28"/>
      <c r="J156" s="28"/>
      <c r="K156" s="28"/>
      <c r="L156" s="28"/>
      <c r="M156" s="28">
        <v>3135</v>
      </c>
      <c r="N156" s="28"/>
      <c r="O156" s="33">
        <f>M156+N156</f>
        <v>3135</v>
      </c>
      <c r="P156" s="33"/>
      <c r="Q156" s="33">
        <f>O156+P156</f>
        <v>3135</v>
      </c>
      <c r="R156" s="33"/>
      <c r="S156" s="33">
        <f>Q156+R156</f>
        <v>3135</v>
      </c>
      <c r="T156" s="33"/>
      <c r="U156" s="33">
        <f>S156+T156</f>
        <v>3135</v>
      </c>
    </row>
    <row r="157" spans="1:85">
      <c r="A157" s="23"/>
      <c r="B157" s="121"/>
      <c r="C157" s="4" t="s">
        <v>1303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1:85">
      <c r="A158" s="15" t="s">
        <v>1442</v>
      </c>
      <c r="B158" s="121"/>
      <c r="C158" s="2" t="s">
        <v>1311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85">
      <c r="A159" s="23" t="s">
        <v>1573</v>
      </c>
      <c r="B159" s="121"/>
      <c r="C159" s="52" t="s">
        <v>1526</v>
      </c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33"/>
      <c r="S159" s="28"/>
      <c r="T159" s="28"/>
      <c r="U159" s="28"/>
    </row>
    <row r="160" spans="1:85">
      <c r="A160" s="23" t="s">
        <v>1572</v>
      </c>
      <c r="B160" s="121"/>
      <c r="C160" s="52" t="s">
        <v>1527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33"/>
      <c r="S160" s="28"/>
      <c r="T160" s="28"/>
      <c r="U160" s="28"/>
    </row>
    <row r="161" spans="1:85">
      <c r="A161" s="15" t="s">
        <v>1441</v>
      </c>
      <c r="B161" s="121"/>
      <c r="C161" s="68" t="s">
        <v>1525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33"/>
      <c r="S161" s="28"/>
      <c r="T161" s="28"/>
      <c r="U161" s="28"/>
    </row>
    <row r="162" spans="1:85">
      <c r="A162" s="23" t="s">
        <v>1571</v>
      </c>
      <c r="B162" s="121"/>
      <c r="C162" s="52" t="s">
        <v>1528</v>
      </c>
      <c r="D162" s="28">
        <v>36274</v>
      </c>
      <c r="E162" s="28"/>
      <c r="F162" s="28">
        <f>D162+E162</f>
        <v>36274</v>
      </c>
      <c r="G162" s="28"/>
      <c r="H162" s="28">
        <f>F162+G162</f>
        <v>36274</v>
      </c>
      <c r="I162" s="28"/>
      <c r="J162" s="28">
        <f>H162+I162</f>
        <v>36274</v>
      </c>
      <c r="K162" s="28"/>
      <c r="L162" s="28">
        <f>J162+K162</f>
        <v>36274</v>
      </c>
      <c r="M162" s="28"/>
      <c r="N162" s="28"/>
      <c r="O162" s="28"/>
      <c r="P162" s="28"/>
      <c r="Q162" s="28"/>
      <c r="R162" s="33"/>
      <c r="S162" s="28"/>
      <c r="T162" s="28"/>
      <c r="U162" s="28"/>
    </row>
    <row r="163" spans="1:85" ht="23.25" customHeight="1">
      <c r="A163" s="23" t="s">
        <v>1571</v>
      </c>
      <c r="B163" s="121"/>
      <c r="C163" s="125" t="s">
        <v>74</v>
      </c>
      <c r="D163" s="28">
        <v>90842</v>
      </c>
      <c r="E163" s="28">
        <f>76324-90842</f>
        <v>-14518</v>
      </c>
      <c r="F163" s="28">
        <f>D163+E163</f>
        <v>76324</v>
      </c>
      <c r="G163" s="28"/>
      <c r="H163" s="28">
        <f>F163+G163</f>
        <v>76324</v>
      </c>
      <c r="I163" s="28"/>
      <c r="J163" s="28">
        <f>H163+I163</f>
        <v>76324</v>
      </c>
      <c r="K163" s="28">
        <f>-3342+3135</f>
        <v>-207</v>
      </c>
      <c r="L163" s="28">
        <f>J163+K163</f>
        <v>76117</v>
      </c>
      <c r="M163" s="28"/>
      <c r="N163" s="28"/>
      <c r="O163" s="28"/>
      <c r="P163" s="28"/>
      <c r="Q163" s="28"/>
      <c r="R163" s="33"/>
      <c r="S163" s="28"/>
      <c r="T163" s="28"/>
      <c r="U163" s="28"/>
    </row>
    <row r="164" spans="1:85" ht="23.25" customHeight="1">
      <c r="A164" s="23" t="s">
        <v>1615</v>
      </c>
      <c r="B164" s="121"/>
      <c r="C164" s="177" t="s">
        <v>1266</v>
      </c>
      <c r="D164" s="28">
        <v>3135</v>
      </c>
      <c r="E164" s="28"/>
      <c r="F164" s="28">
        <f>D164+E164</f>
        <v>3135</v>
      </c>
      <c r="G164" s="28"/>
      <c r="H164" s="28">
        <f>F164+G164</f>
        <v>3135</v>
      </c>
      <c r="I164" s="28"/>
      <c r="J164" s="28">
        <f>H164+I164</f>
        <v>3135</v>
      </c>
      <c r="K164" s="28">
        <v>-3135</v>
      </c>
      <c r="L164" s="28">
        <f>J164+K164</f>
        <v>0</v>
      </c>
      <c r="M164" s="28"/>
      <c r="N164" s="28"/>
      <c r="O164" s="28"/>
      <c r="P164" s="28"/>
      <c r="Q164" s="28"/>
      <c r="R164" s="33"/>
      <c r="S164" s="28"/>
      <c r="T164" s="28"/>
      <c r="U164" s="28"/>
    </row>
    <row r="165" spans="1:85">
      <c r="A165" s="23" t="s">
        <v>1570</v>
      </c>
      <c r="B165" s="121"/>
      <c r="C165" s="66" t="s">
        <v>1529</v>
      </c>
      <c r="D165" s="28">
        <v>2206</v>
      </c>
      <c r="E165" s="28">
        <f>12980-2206</f>
        <v>10774</v>
      </c>
      <c r="F165" s="28">
        <f>D165+E165</f>
        <v>12980</v>
      </c>
      <c r="G165" s="28"/>
      <c r="H165" s="28">
        <f>F165+G165</f>
        <v>12980</v>
      </c>
      <c r="I165" s="28"/>
      <c r="J165" s="28">
        <f>H165+I165</f>
        <v>12980</v>
      </c>
      <c r="K165" s="28">
        <f>968+2167</f>
        <v>3135</v>
      </c>
      <c r="L165" s="28">
        <f>J165+K165</f>
        <v>16115</v>
      </c>
      <c r="M165" s="28"/>
      <c r="N165" s="28"/>
      <c r="O165" s="28"/>
      <c r="P165" s="28"/>
      <c r="Q165" s="28"/>
      <c r="R165" s="33"/>
      <c r="S165" s="28"/>
      <c r="T165" s="28"/>
      <c r="U165" s="28"/>
    </row>
    <row r="166" spans="1:85">
      <c r="A166" s="23"/>
      <c r="B166" s="121"/>
      <c r="C166" s="2" t="s">
        <v>1318</v>
      </c>
      <c r="D166" s="34">
        <f t="shared" ref="D166:P166" si="21">SUM(D153:D165)</f>
        <v>132457</v>
      </c>
      <c r="E166" s="34">
        <f t="shared" si="21"/>
        <v>-3744</v>
      </c>
      <c r="F166" s="34">
        <f t="shared" si="21"/>
        <v>128713</v>
      </c>
      <c r="G166" s="34"/>
      <c r="H166" s="34">
        <f>SUM(H153:H165)</f>
        <v>128713</v>
      </c>
      <c r="I166" s="34"/>
      <c r="J166" s="34">
        <f>SUM(J153:J165)</f>
        <v>128713</v>
      </c>
      <c r="K166" s="34">
        <f>SUM(K153:K165)</f>
        <v>-207</v>
      </c>
      <c r="L166" s="34">
        <f>SUM(L153:L165)</f>
        <v>128506</v>
      </c>
      <c r="M166" s="34">
        <f t="shared" si="21"/>
        <v>3135</v>
      </c>
      <c r="N166" s="34">
        <f t="shared" si="21"/>
        <v>0</v>
      </c>
      <c r="O166" s="34">
        <f t="shared" si="21"/>
        <v>3135</v>
      </c>
      <c r="P166" s="34">
        <f t="shared" si="21"/>
        <v>0</v>
      </c>
      <c r="Q166" s="34">
        <f>SUM(Q153:Q165)</f>
        <v>3135</v>
      </c>
      <c r="R166" s="34">
        <f>SUM(R153:R165)</f>
        <v>0</v>
      </c>
      <c r="S166" s="34">
        <f>SUM(S153:S165)</f>
        <v>3135</v>
      </c>
      <c r="T166" s="34">
        <f>SUM(T153:T165)</f>
        <v>0</v>
      </c>
      <c r="U166" s="34">
        <f>SUM(U153:U165)</f>
        <v>3135</v>
      </c>
    </row>
    <row r="167" spans="1:85">
      <c r="A167" s="23"/>
      <c r="B167" s="121"/>
      <c r="C167" s="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85" s="192" customFormat="1" ht="17.25" customHeight="1">
      <c r="A168" s="189"/>
      <c r="B168" s="190" t="s">
        <v>18</v>
      </c>
      <c r="C168" s="193" t="s">
        <v>21</v>
      </c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33"/>
      <c r="S168" s="191"/>
      <c r="T168" s="191"/>
      <c r="U168" s="191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15"/>
      <c r="BY168" s="215"/>
      <c r="BZ168" s="215"/>
      <c r="CA168" s="215"/>
      <c r="CB168" s="215"/>
      <c r="CC168" s="215"/>
      <c r="CD168" s="215"/>
      <c r="CE168" s="215"/>
      <c r="CF168" s="215"/>
      <c r="CG168" s="215"/>
    </row>
    <row r="169" spans="1:85">
      <c r="A169" s="23"/>
      <c r="B169" s="121"/>
      <c r="C169" s="4" t="s">
        <v>1280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85">
      <c r="A170" s="15" t="s">
        <v>1441</v>
      </c>
      <c r="B170" s="121"/>
      <c r="C170" s="130" t="s">
        <v>1578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85" ht="33.75" customHeight="1">
      <c r="A171" s="23" t="s">
        <v>1274</v>
      </c>
      <c r="B171" s="121"/>
      <c r="C171" s="131" t="s">
        <v>1262</v>
      </c>
      <c r="D171" s="33">
        <v>76535</v>
      </c>
      <c r="E171" s="33">
        <f>664</f>
        <v>664</v>
      </c>
      <c r="F171" s="33">
        <f>D171+E171</f>
        <v>77199</v>
      </c>
      <c r="G171" s="33">
        <v>90</v>
      </c>
      <c r="H171" s="33">
        <f>F171+G171</f>
        <v>77289</v>
      </c>
      <c r="I171" s="33">
        <f>-30000+54+637+645</f>
        <v>-28664</v>
      </c>
      <c r="J171" s="33">
        <f>H171+I171</f>
        <v>48625</v>
      </c>
      <c r="K171" s="33">
        <v>1163</v>
      </c>
      <c r="L171" s="33">
        <f>J171+K171</f>
        <v>49788</v>
      </c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85">
      <c r="A172" s="23"/>
      <c r="B172" s="121"/>
      <c r="C172" s="2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1:85">
      <c r="A173" s="23"/>
      <c r="B173" s="121"/>
      <c r="C173" s="2" t="s">
        <v>1318</v>
      </c>
      <c r="D173" s="34">
        <f>SUM(D171:D172)</f>
        <v>76535</v>
      </c>
      <c r="E173" s="34">
        <f>SUM(E171:E172)</f>
        <v>664</v>
      </c>
      <c r="F173" s="34">
        <f>SUM(F171:F172)</f>
        <v>77199</v>
      </c>
      <c r="G173" s="34"/>
      <c r="H173" s="34">
        <f>SUM(H171:H172)</f>
        <v>77289</v>
      </c>
      <c r="I173" s="34"/>
      <c r="J173" s="34">
        <f>SUM(J171:J172)</f>
        <v>48625</v>
      </c>
      <c r="K173" s="34">
        <f>SUM(K171:K172)</f>
        <v>1163</v>
      </c>
      <c r="L173" s="34">
        <f>SUM(L171:L172)</f>
        <v>49788</v>
      </c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85">
      <c r="A174" s="23"/>
      <c r="B174" s="121"/>
      <c r="C174" s="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1:85" s="192" customFormat="1" ht="17.25" customHeight="1">
      <c r="A175" s="189"/>
      <c r="B175" s="190" t="s">
        <v>22</v>
      </c>
      <c r="C175" s="193" t="s">
        <v>23</v>
      </c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33"/>
      <c r="S175" s="191"/>
      <c r="T175" s="191"/>
      <c r="U175" s="191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15"/>
      <c r="BY175" s="215"/>
      <c r="BZ175" s="215"/>
      <c r="CA175" s="215"/>
      <c r="CB175" s="215"/>
      <c r="CC175" s="215"/>
      <c r="CD175" s="215"/>
      <c r="CE175" s="215"/>
      <c r="CF175" s="215"/>
      <c r="CG175" s="215"/>
    </row>
    <row r="176" spans="1:85">
      <c r="A176" s="23"/>
      <c r="B176" s="121"/>
      <c r="C176" s="4" t="s">
        <v>1280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1:85">
      <c r="A177" s="15" t="s">
        <v>1441</v>
      </c>
      <c r="B177" s="121"/>
      <c r="C177" s="2" t="s">
        <v>1292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85">
      <c r="A178" s="23" t="s">
        <v>1454</v>
      </c>
      <c r="B178" s="121"/>
      <c r="C178" s="51" t="s">
        <v>1294</v>
      </c>
      <c r="D178" s="33">
        <v>268</v>
      </c>
      <c r="E178" s="33"/>
      <c r="F178" s="33">
        <f>D178+E178</f>
        <v>268</v>
      </c>
      <c r="G178" s="33"/>
      <c r="H178" s="33">
        <f>F178+G178</f>
        <v>268</v>
      </c>
      <c r="I178" s="33"/>
      <c r="J178" s="33">
        <f>H178+I178</f>
        <v>268</v>
      </c>
      <c r="K178" s="33"/>
      <c r="L178" s="33">
        <f>J178+K178</f>
        <v>268</v>
      </c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1:85">
      <c r="A179" s="23" t="s">
        <v>1436</v>
      </c>
      <c r="B179" s="121"/>
      <c r="C179" s="58" t="s">
        <v>1437</v>
      </c>
      <c r="D179" s="33">
        <v>72</v>
      </c>
      <c r="E179" s="33"/>
      <c r="F179" s="33">
        <f>D179+E179</f>
        <v>72</v>
      </c>
      <c r="G179" s="33"/>
      <c r="H179" s="33">
        <f>F179+G179</f>
        <v>72</v>
      </c>
      <c r="I179" s="33"/>
      <c r="J179" s="33">
        <f>H179+I179</f>
        <v>72</v>
      </c>
      <c r="K179" s="33"/>
      <c r="L179" s="33">
        <f>J179+K179</f>
        <v>72</v>
      </c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85">
      <c r="A180" s="23"/>
      <c r="B180" s="121"/>
      <c r="C180" s="2" t="s">
        <v>1318</v>
      </c>
      <c r="D180" s="34">
        <f>SUM(D178:D179)</f>
        <v>340</v>
      </c>
      <c r="E180" s="34">
        <f>SUM(E178:E179)</f>
        <v>0</v>
      </c>
      <c r="F180" s="34">
        <f>SUM(F178:F179)</f>
        <v>340</v>
      </c>
      <c r="G180" s="34"/>
      <c r="H180" s="34">
        <f>SUM(H178:H179)</f>
        <v>340</v>
      </c>
      <c r="I180" s="34"/>
      <c r="J180" s="34">
        <f>SUM(J178:J179)</f>
        <v>340</v>
      </c>
      <c r="K180" s="34"/>
      <c r="L180" s="34">
        <f>SUM(L178:L179)</f>
        <v>340</v>
      </c>
      <c r="M180" s="33"/>
      <c r="N180" s="33"/>
      <c r="O180" s="33"/>
      <c r="P180" s="33"/>
      <c r="Q180" s="33"/>
      <c r="R180" s="33"/>
      <c r="S180" s="33"/>
      <c r="T180" s="33"/>
      <c r="U180" s="33"/>
    </row>
    <row r="181" spans="1:85">
      <c r="A181" s="23"/>
      <c r="B181" s="121"/>
      <c r="C181" s="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1:85" s="192" customFormat="1" ht="17.25" customHeight="1">
      <c r="A182" s="189"/>
      <c r="B182" s="190" t="s">
        <v>24</v>
      </c>
      <c r="C182" s="193" t="s">
        <v>25</v>
      </c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33"/>
      <c r="S182" s="191"/>
      <c r="T182" s="191"/>
      <c r="U182" s="191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5"/>
      <c r="CE182" s="215"/>
      <c r="CF182" s="215"/>
      <c r="CG182" s="215"/>
    </row>
    <row r="183" spans="1:85">
      <c r="A183" s="23"/>
      <c r="B183" s="121"/>
      <c r="C183" s="4" t="s">
        <v>1280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1:85">
      <c r="A184" s="15" t="s">
        <v>1442</v>
      </c>
      <c r="B184" s="121"/>
      <c r="C184" s="2" t="s">
        <v>1281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1:85">
      <c r="A185" s="23" t="s">
        <v>1439</v>
      </c>
      <c r="B185" s="121"/>
      <c r="C185" s="58" t="s">
        <v>1281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>
        <v>600</v>
      </c>
      <c r="N185" s="33"/>
      <c r="O185" s="33">
        <f>M185+N185</f>
        <v>600</v>
      </c>
      <c r="P185" s="33"/>
      <c r="Q185" s="33">
        <f>O185+P185</f>
        <v>600</v>
      </c>
      <c r="R185" s="33"/>
      <c r="S185" s="33">
        <f>Q185+R185</f>
        <v>600</v>
      </c>
      <c r="T185" s="33">
        <v>-600</v>
      </c>
      <c r="U185" s="33">
        <f>S185+T185</f>
        <v>0</v>
      </c>
    </row>
    <row r="186" spans="1:85">
      <c r="A186" s="23" t="s">
        <v>1451</v>
      </c>
      <c r="B186" s="121"/>
      <c r="C186" s="58" t="s">
        <v>1550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>
        <v>162</v>
      </c>
      <c r="N186" s="33"/>
      <c r="O186" s="33">
        <f>M186+N186</f>
        <v>162</v>
      </c>
      <c r="P186" s="33"/>
      <c r="Q186" s="33">
        <f>O186+P186</f>
        <v>162</v>
      </c>
      <c r="R186" s="33"/>
      <c r="S186" s="33">
        <f>Q186+R186</f>
        <v>162</v>
      </c>
      <c r="T186" s="33"/>
      <c r="U186" s="33">
        <f>S186+T186</f>
        <v>162</v>
      </c>
    </row>
    <row r="187" spans="1:85">
      <c r="A187" s="15" t="s">
        <v>1441</v>
      </c>
      <c r="B187" s="121"/>
      <c r="C187" s="2" t="s">
        <v>1292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1:85">
      <c r="A188" s="23" t="s">
        <v>1454</v>
      </c>
      <c r="B188" s="121"/>
      <c r="C188" s="51" t="s">
        <v>1294</v>
      </c>
      <c r="D188" s="33">
        <v>20</v>
      </c>
      <c r="E188" s="33"/>
      <c r="F188" s="33">
        <f>D188+E188</f>
        <v>20</v>
      </c>
      <c r="G188" s="33"/>
      <c r="H188" s="33">
        <f>F188+G188</f>
        <v>20</v>
      </c>
      <c r="I188" s="33"/>
      <c r="J188" s="33">
        <f>H188+I188</f>
        <v>20</v>
      </c>
      <c r="K188" s="33"/>
      <c r="L188" s="33">
        <f>J188+K188</f>
        <v>20</v>
      </c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1:85">
      <c r="A189" s="23" t="s">
        <v>1436</v>
      </c>
      <c r="B189" s="121"/>
      <c r="C189" s="58" t="s">
        <v>1437</v>
      </c>
      <c r="D189" s="33">
        <v>4</v>
      </c>
      <c r="E189" s="33"/>
      <c r="F189" s="33">
        <f>D189+E189</f>
        <v>4</v>
      </c>
      <c r="G189" s="33"/>
      <c r="H189" s="33">
        <f>F189+G189</f>
        <v>4</v>
      </c>
      <c r="I189" s="33"/>
      <c r="J189" s="33">
        <f>H189+I189</f>
        <v>4</v>
      </c>
      <c r="K189" s="33"/>
      <c r="L189" s="33">
        <f>J189+K189</f>
        <v>4</v>
      </c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85">
      <c r="A190" s="23"/>
      <c r="B190" s="121"/>
      <c r="C190" s="2" t="s">
        <v>1318</v>
      </c>
      <c r="D190" s="34">
        <f t="shared" ref="D190:P190" si="22">SUM(D185:D189)</f>
        <v>24</v>
      </c>
      <c r="E190" s="34">
        <f t="shared" si="22"/>
        <v>0</v>
      </c>
      <c r="F190" s="34">
        <f t="shared" si="22"/>
        <v>24</v>
      </c>
      <c r="G190" s="34"/>
      <c r="H190" s="34">
        <f>SUM(H185:H189)</f>
        <v>24</v>
      </c>
      <c r="I190" s="34"/>
      <c r="J190" s="34">
        <f>SUM(J185:J189)</f>
        <v>24</v>
      </c>
      <c r="K190" s="34"/>
      <c r="L190" s="34">
        <f>SUM(L185:L189)</f>
        <v>24</v>
      </c>
      <c r="M190" s="34">
        <f t="shared" si="22"/>
        <v>762</v>
      </c>
      <c r="N190" s="34">
        <f t="shared" si="22"/>
        <v>0</v>
      </c>
      <c r="O190" s="34">
        <f t="shared" si="22"/>
        <v>762</v>
      </c>
      <c r="P190" s="34">
        <f t="shared" si="22"/>
        <v>0</v>
      </c>
      <c r="Q190" s="34">
        <f>SUM(Q185:Q189)</f>
        <v>762</v>
      </c>
      <c r="R190" s="34">
        <f>SUM(R185:R189)</f>
        <v>0</v>
      </c>
      <c r="S190" s="34">
        <f>SUM(S185:S189)</f>
        <v>762</v>
      </c>
      <c r="T190" s="34">
        <f>SUM(T185:T189)</f>
        <v>-600</v>
      </c>
      <c r="U190" s="34">
        <f>SUM(U185:U189)</f>
        <v>162</v>
      </c>
    </row>
    <row r="191" spans="1:85">
      <c r="A191" s="23"/>
      <c r="B191" s="121"/>
      <c r="C191" s="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85" s="192" customFormat="1" ht="17.25" customHeight="1">
      <c r="A192" s="189"/>
      <c r="B192" s="190" t="s">
        <v>26</v>
      </c>
      <c r="C192" s="193" t="s">
        <v>27</v>
      </c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33"/>
      <c r="S192" s="191"/>
      <c r="T192" s="191"/>
      <c r="U192" s="191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  <c r="CG192" s="215"/>
    </row>
    <row r="193" spans="1:85">
      <c r="A193" s="23"/>
      <c r="B193" s="121"/>
      <c r="C193" s="4" t="s">
        <v>1280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85">
      <c r="A194" s="15" t="s">
        <v>1442</v>
      </c>
      <c r="B194" s="121"/>
      <c r="C194" s="2" t="s">
        <v>1281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85">
      <c r="A195" s="23" t="s">
        <v>1439</v>
      </c>
      <c r="B195" s="121"/>
      <c r="C195" s="58" t="s">
        <v>1281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>
        <v>79</v>
      </c>
      <c r="N195" s="33"/>
      <c r="O195" s="33">
        <f>M195+N195</f>
        <v>79</v>
      </c>
      <c r="P195" s="33"/>
      <c r="Q195" s="33">
        <f>O195+P195</f>
        <v>79</v>
      </c>
      <c r="R195" s="33"/>
      <c r="S195" s="33">
        <f>Q195+R195</f>
        <v>79</v>
      </c>
      <c r="T195" s="33">
        <v>-79</v>
      </c>
      <c r="U195" s="33">
        <f>S195+T195</f>
        <v>0</v>
      </c>
    </row>
    <row r="196" spans="1:85">
      <c r="A196" s="23" t="s">
        <v>1451</v>
      </c>
      <c r="B196" s="121"/>
      <c r="C196" s="58" t="s">
        <v>1550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>
        <v>21</v>
      </c>
      <c r="N196" s="33"/>
      <c r="O196" s="33">
        <f>M196+N196</f>
        <v>21</v>
      </c>
      <c r="P196" s="33"/>
      <c r="Q196" s="33">
        <f>O196+P196</f>
        <v>21</v>
      </c>
      <c r="R196" s="33"/>
      <c r="S196" s="33">
        <f>Q196+R196</f>
        <v>21</v>
      </c>
      <c r="T196" s="33"/>
      <c r="U196" s="33">
        <f>S196+T196</f>
        <v>21</v>
      </c>
    </row>
    <row r="197" spans="1:85">
      <c r="A197" s="23"/>
      <c r="B197" s="121"/>
      <c r="C197" s="2" t="s">
        <v>1318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4">
        <f t="shared" ref="M197:S197" si="23">SUM(M195:M196)</f>
        <v>100</v>
      </c>
      <c r="N197" s="34">
        <f t="shared" si="23"/>
        <v>0</v>
      </c>
      <c r="O197" s="34">
        <f t="shared" si="23"/>
        <v>100</v>
      </c>
      <c r="P197" s="34">
        <f t="shared" si="23"/>
        <v>0</v>
      </c>
      <c r="Q197" s="34">
        <f t="shared" si="23"/>
        <v>100</v>
      </c>
      <c r="R197" s="34">
        <f t="shared" si="23"/>
        <v>0</v>
      </c>
      <c r="S197" s="34">
        <f t="shared" si="23"/>
        <v>100</v>
      </c>
      <c r="T197" s="34">
        <f>SUM(T195:T196)</f>
        <v>-79</v>
      </c>
      <c r="U197" s="34">
        <f>SUM(U195:U196)</f>
        <v>21</v>
      </c>
    </row>
    <row r="198" spans="1:85">
      <c r="A198" s="23"/>
      <c r="B198" s="121"/>
      <c r="C198" s="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85" s="192" customFormat="1" ht="17.25" customHeight="1">
      <c r="A199" s="189"/>
      <c r="B199" s="190" t="s">
        <v>28</v>
      </c>
      <c r="C199" s="193" t="s">
        <v>29</v>
      </c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33"/>
      <c r="S199" s="191"/>
      <c r="T199" s="191"/>
      <c r="U199" s="191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215"/>
      <c r="BM199" s="215"/>
      <c r="BN199" s="215"/>
      <c r="BO199" s="215"/>
      <c r="BP199" s="215"/>
      <c r="BQ199" s="215"/>
      <c r="BR199" s="215"/>
      <c r="BS199" s="215"/>
      <c r="BT199" s="215"/>
      <c r="BU199" s="215"/>
      <c r="BV199" s="215"/>
      <c r="BW199" s="215"/>
      <c r="BX199" s="215"/>
      <c r="BY199" s="215"/>
      <c r="BZ199" s="215"/>
      <c r="CA199" s="215"/>
      <c r="CB199" s="215"/>
      <c r="CC199" s="215"/>
      <c r="CD199" s="215"/>
      <c r="CE199" s="215"/>
      <c r="CF199" s="215"/>
      <c r="CG199" s="215"/>
    </row>
    <row r="200" spans="1:85">
      <c r="A200" s="23"/>
      <c r="B200" s="121"/>
      <c r="C200" s="4" t="s">
        <v>1280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85">
      <c r="A201" s="15" t="s">
        <v>1441</v>
      </c>
      <c r="B201" s="121"/>
      <c r="C201" s="2" t="s">
        <v>1292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85">
      <c r="A202" s="23" t="s">
        <v>71</v>
      </c>
      <c r="B202" s="121"/>
      <c r="C202" s="51" t="s">
        <v>1293</v>
      </c>
      <c r="D202" s="33">
        <v>1200</v>
      </c>
      <c r="E202" s="33"/>
      <c r="F202" s="33">
        <f>D202+E202</f>
        <v>1200</v>
      </c>
      <c r="G202" s="33"/>
      <c r="H202" s="33">
        <f>F202+G202</f>
        <v>1200</v>
      </c>
      <c r="I202" s="33"/>
      <c r="J202" s="33">
        <f>H202+I202</f>
        <v>1200</v>
      </c>
      <c r="K202" s="33"/>
      <c r="L202" s="33">
        <f>J202+K202</f>
        <v>1200</v>
      </c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1:85">
      <c r="A203" s="23" t="s">
        <v>1434</v>
      </c>
      <c r="B203" s="121"/>
      <c r="C203" s="58" t="s">
        <v>1435</v>
      </c>
      <c r="D203" s="33">
        <v>324</v>
      </c>
      <c r="E203" s="33"/>
      <c r="F203" s="33">
        <f>D203+E203</f>
        <v>324</v>
      </c>
      <c r="G203" s="33"/>
      <c r="H203" s="33">
        <f>F203+G203</f>
        <v>324</v>
      </c>
      <c r="I203" s="33"/>
      <c r="J203" s="33">
        <f>H203+I203</f>
        <v>324</v>
      </c>
      <c r="K203" s="33"/>
      <c r="L203" s="33">
        <f>J203+K203</f>
        <v>324</v>
      </c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85">
      <c r="A204" s="23" t="s">
        <v>1454</v>
      </c>
      <c r="B204" s="121"/>
      <c r="C204" s="51" t="s">
        <v>1294</v>
      </c>
      <c r="D204" s="33">
        <v>343</v>
      </c>
      <c r="E204" s="33"/>
      <c r="F204" s="33">
        <f>D204+E204</f>
        <v>343</v>
      </c>
      <c r="G204" s="33"/>
      <c r="H204" s="33">
        <f>F204+G204</f>
        <v>343</v>
      </c>
      <c r="I204" s="33"/>
      <c r="J204" s="33">
        <f>H204+I204</f>
        <v>343</v>
      </c>
      <c r="K204" s="33"/>
      <c r="L204" s="33">
        <f>J204+K204</f>
        <v>343</v>
      </c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1:85">
      <c r="A205" s="23" t="s">
        <v>1436</v>
      </c>
      <c r="B205" s="121"/>
      <c r="C205" s="58" t="s">
        <v>1437</v>
      </c>
      <c r="D205" s="33">
        <v>93</v>
      </c>
      <c r="E205" s="33"/>
      <c r="F205" s="33">
        <f>D205+E205</f>
        <v>93</v>
      </c>
      <c r="G205" s="33"/>
      <c r="H205" s="33">
        <f>F205+G205</f>
        <v>93</v>
      </c>
      <c r="I205" s="33"/>
      <c r="J205" s="33">
        <f>H205+I205</f>
        <v>93</v>
      </c>
      <c r="K205" s="33"/>
      <c r="L205" s="33">
        <f>J205+K205</f>
        <v>93</v>
      </c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85" ht="22.5">
      <c r="A206" s="15" t="s">
        <v>1442</v>
      </c>
      <c r="B206" s="121"/>
      <c r="C206" s="94" t="s">
        <v>1553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1:85" ht="19.5">
      <c r="A207" s="23" t="s">
        <v>1552</v>
      </c>
      <c r="B207" s="121"/>
      <c r="C207" s="60" t="s">
        <v>1554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>
        <v>2500</v>
      </c>
      <c r="N207" s="33"/>
      <c r="O207" s="33">
        <f>M207+N207</f>
        <v>2500</v>
      </c>
      <c r="P207" s="33"/>
      <c r="Q207" s="33">
        <f>O207+P207</f>
        <v>2500</v>
      </c>
      <c r="R207" s="33"/>
      <c r="S207" s="33">
        <f>Q207+R207</f>
        <v>2500</v>
      </c>
      <c r="T207" s="33"/>
      <c r="U207" s="33">
        <f>S207+T207</f>
        <v>2500</v>
      </c>
    </row>
    <row r="208" spans="1:85">
      <c r="A208" s="23"/>
      <c r="B208" s="121"/>
      <c r="C208" s="2" t="s">
        <v>1318</v>
      </c>
      <c r="D208" s="34">
        <f t="shared" ref="D208:P208" si="24">SUM(D202:D207)</f>
        <v>1960</v>
      </c>
      <c r="E208" s="34">
        <f t="shared" si="24"/>
        <v>0</v>
      </c>
      <c r="F208" s="34">
        <f t="shared" si="24"/>
        <v>1960</v>
      </c>
      <c r="G208" s="34"/>
      <c r="H208" s="34">
        <f>SUM(H202:H207)</f>
        <v>1960</v>
      </c>
      <c r="I208" s="34"/>
      <c r="J208" s="34">
        <f>SUM(J202:J207)</f>
        <v>1960</v>
      </c>
      <c r="K208" s="34"/>
      <c r="L208" s="34">
        <f>SUM(L202:L207)</f>
        <v>1960</v>
      </c>
      <c r="M208" s="34">
        <f t="shared" si="24"/>
        <v>2500</v>
      </c>
      <c r="N208" s="34">
        <f t="shared" si="24"/>
        <v>0</v>
      </c>
      <c r="O208" s="34">
        <f t="shared" si="24"/>
        <v>2500</v>
      </c>
      <c r="P208" s="34">
        <f t="shared" si="24"/>
        <v>0</v>
      </c>
      <c r="Q208" s="34">
        <f>SUM(Q202:Q207)</f>
        <v>2500</v>
      </c>
      <c r="R208" s="34">
        <f>SUM(R202:R207)</f>
        <v>0</v>
      </c>
      <c r="S208" s="34">
        <f>SUM(S202:S207)</f>
        <v>2500</v>
      </c>
      <c r="T208" s="34">
        <f>SUM(T202:T207)</f>
        <v>0</v>
      </c>
      <c r="U208" s="34">
        <f>SUM(U202:U207)</f>
        <v>2500</v>
      </c>
    </row>
    <row r="209" spans="1:85">
      <c r="A209" s="23"/>
      <c r="B209" s="121"/>
      <c r="C209" s="52" t="s">
        <v>1321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1:85">
      <c r="A210" s="23"/>
      <c r="B210" s="121"/>
      <c r="C210" s="5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</row>
    <row r="211" spans="1:85" s="192" customFormat="1" ht="28.5" customHeight="1">
      <c r="A211" s="189"/>
      <c r="B211" s="190" t="s">
        <v>31</v>
      </c>
      <c r="C211" s="288" t="s">
        <v>30</v>
      </c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  <c r="N211" s="289"/>
      <c r="O211" s="289"/>
      <c r="P211" s="289"/>
      <c r="Q211" s="289"/>
      <c r="R211" s="33"/>
      <c r="S211" s="191"/>
      <c r="T211" s="191"/>
      <c r="U211" s="191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  <c r="BI211" s="215"/>
      <c r="BJ211" s="215"/>
      <c r="BK211" s="215"/>
      <c r="BL211" s="215"/>
      <c r="BM211" s="215"/>
      <c r="BN211" s="215"/>
      <c r="BO211" s="215"/>
      <c r="BP211" s="215"/>
      <c r="BQ211" s="215"/>
      <c r="BR211" s="215"/>
      <c r="BS211" s="215"/>
      <c r="BT211" s="215"/>
      <c r="BU211" s="215"/>
      <c r="BV211" s="215"/>
      <c r="BW211" s="215"/>
      <c r="BX211" s="215"/>
      <c r="BY211" s="215"/>
      <c r="BZ211" s="215"/>
      <c r="CA211" s="215"/>
      <c r="CB211" s="215"/>
      <c r="CC211" s="215"/>
      <c r="CD211" s="215"/>
      <c r="CE211" s="215"/>
      <c r="CF211" s="215"/>
      <c r="CG211" s="215"/>
    </row>
    <row r="212" spans="1:85">
      <c r="A212" s="23"/>
      <c r="B212" s="121"/>
      <c r="C212" s="4" t="s">
        <v>1280</v>
      </c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1:85">
      <c r="A213" s="15" t="s">
        <v>1442</v>
      </c>
      <c r="B213" s="121"/>
      <c r="C213" s="2" t="s">
        <v>1281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85">
      <c r="A214" s="23" t="s">
        <v>1439</v>
      </c>
      <c r="B214" s="121"/>
      <c r="C214" s="58" t="s">
        <v>1281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>
        <v>500</v>
      </c>
      <c r="N214" s="33"/>
      <c r="O214" s="33">
        <f>M214+N214</f>
        <v>500</v>
      </c>
      <c r="P214" s="33"/>
      <c r="Q214" s="33">
        <f>O214+P214</f>
        <v>500</v>
      </c>
      <c r="R214" s="33"/>
      <c r="S214" s="33">
        <f>Q214+R214</f>
        <v>500</v>
      </c>
      <c r="T214" s="33"/>
      <c r="U214" s="33">
        <f>S214+T214</f>
        <v>500</v>
      </c>
    </row>
    <row r="215" spans="1:85">
      <c r="A215" s="15" t="s">
        <v>1441</v>
      </c>
      <c r="B215" s="121"/>
      <c r="C215" s="2" t="s">
        <v>1292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85">
      <c r="A216" s="23" t="s">
        <v>1579</v>
      </c>
      <c r="B216" s="121"/>
      <c r="C216" s="51" t="s">
        <v>1295</v>
      </c>
      <c r="D216" s="33">
        <v>47</v>
      </c>
      <c r="E216" s="33"/>
      <c r="F216" s="33">
        <f>D216+E216</f>
        <v>47</v>
      </c>
      <c r="G216" s="33"/>
      <c r="H216" s="33">
        <f>F216+G216</f>
        <v>47</v>
      </c>
      <c r="I216" s="33"/>
      <c r="J216" s="33">
        <f>H216+I216</f>
        <v>47</v>
      </c>
      <c r="K216" s="33"/>
      <c r="L216" s="33">
        <f>J216+K216</f>
        <v>47</v>
      </c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85">
      <c r="A217" s="23"/>
      <c r="B217" s="121"/>
      <c r="C217" s="2" t="s">
        <v>1318</v>
      </c>
      <c r="D217" s="34">
        <f t="shared" ref="D217:P217" si="25">SUM(D214:D216)</f>
        <v>47</v>
      </c>
      <c r="E217" s="34">
        <f t="shared" si="25"/>
        <v>0</v>
      </c>
      <c r="F217" s="34">
        <f t="shared" si="25"/>
        <v>47</v>
      </c>
      <c r="G217" s="34"/>
      <c r="H217" s="34">
        <f>SUM(H214:H216)</f>
        <v>47</v>
      </c>
      <c r="I217" s="34"/>
      <c r="J217" s="34">
        <f>SUM(J214:J216)</f>
        <v>47</v>
      </c>
      <c r="K217" s="34"/>
      <c r="L217" s="34">
        <f>SUM(L214:L216)</f>
        <v>47</v>
      </c>
      <c r="M217" s="34">
        <f t="shared" si="25"/>
        <v>500</v>
      </c>
      <c r="N217" s="34">
        <f t="shared" si="25"/>
        <v>0</v>
      </c>
      <c r="O217" s="34">
        <f t="shared" si="25"/>
        <v>500</v>
      </c>
      <c r="P217" s="34">
        <f t="shared" si="25"/>
        <v>0</v>
      </c>
      <c r="Q217" s="34">
        <f>SUM(Q214:Q216)</f>
        <v>500</v>
      </c>
      <c r="R217" s="34">
        <f>SUM(R214:R216)</f>
        <v>0</v>
      </c>
      <c r="S217" s="34">
        <f>SUM(S214:S216)</f>
        <v>500</v>
      </c>
      <c r="T217" s="34">
        <f>SUM(T214:T216)</f>
        <v>0</v>
      </c>
      <c r="U217" s="34">
        <f>SUM(U214:U216)</f>
        <v>500</v>
      </c>
    </row>
    <row r="218" spans="1:85">
      <c r="A218" s="23"/>
      <c r="B218" s="121"/>
      <c r="C218" s="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85" s="192" customFormat="1" ht="17.25" customHeight="1">
      <c r="A219" s="189"/>
      <c r="B219" s="190" t="s">
        <v>32</v>
      </c>
      <c r="C219" s="193" t="s">
        <v>33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33"/>
      <c r="S219" s="191"/>
      <c r="T219" s="191"/>
      <c r="U219" s="191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  <c r="BI219" s="215"/>
      <c r="BJ219" s="215"/>
      <c r="BK219" s="215"/>
      <c r="BL219" s="215"/>
      <c r="BM219" s="215"/>
      <c r="BN219" s="215"/>
      <c r="BO219" s="215"/>
      <c r="BP219" s="215"/>
      <c r="BQ219" s="215"/>
      <c r="BR219" s="215"/>
      <c r="BS219" s="215"/>
      <c r="BT219" s="215"/>
      <c r="BU219" s="215"/>
      <c r="BV219" s="215"/>
      <c r="BW219" s="215"/>
      <c r="BX219" s="215"/>
      <c r="BY219" s="215"/>
      <c r="BZ219" s="215"/>
      <c r="CA219" s="215"/>
      <c r="CB219" s="215"/>
      <c r="CC219" s="215"/>
      <c r="CD219" s="215"/>
      <c r="CE219" s="215"/>
      <c r="CF219" s="215"/>
      <c r="CG219" s="215"/>
    </row>
    <row r="220" spans="1:85">
      <c r="A220" s="23"/>
      <c r="B220" s="121"/>
      <c r="C220" s="4" t="s">
        <v>1280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85">
      <c r="A221" s="15" t="s">
        <v>1441</v>
      </c>
      <c r="B221" s="121"/>
      <c r="C221" s="2" t="s">
        <v>1292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85">
      <c r="A222" s="23" t="s">
        <v>1580</v>
      </c>
      <c r="B222" s="121"/>
      <c r="C222" s="51" t="s">
        <v>1295</v>
      </c>
      <c r="D222" s="33">
        <v>592</v>
      </c>
      <c r="E222" s="33"/>
      <c r="F222" s="33">
        <f>D222+E222</f>
        <v>592</v>
      </c>
      <c r="G222" s="33"/>
      <c r="H222" s="33">
        <f>F222+G222</f>
        <v>592</v>
      </c>
      <c r="I222" s="33"/>
      <c r="J222" s="33">
        <f>H222+I222</f>
        <v>592</v>
      </c>
      <c r="K222" s="33"/>
      <c r="L222" s="33">
        <f>J222+K222</f>
        <v>592</v>
      </c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85">
      <c r="A223" s="23" t="s">
        <v>1569</v>
      </c>
      <c r="B223" s="121"/>
      <c r="C223" s="58" t="s">
        <v>1581</v>
      </c>
      <c r="D223" s="33"/>
      <c r="E223" s="33"/>
      <c r="F223" s="33">
        <f>D223+E223</f>
        <v>0</v>
      </c>
      <c r="G223" s="33"/>
      <c r="H223" s="33">
        <f>F223+G223</f>
        <v>0</v>
      </c>
      <c r="I223" s="33"/>
      <c r="J223" s="33">
        <f>H223+I223</f>
        <v>0</v>
      </c>
      <c r="K223" s="33"/>
      <c r="L223" s="33">
        <f>J223+K223</f>
        <v>0</v>
      </c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85">
      <c r="A224" s="23"/>
      <c r="B224" s="121"/>
      <c r="C224" s="2" t="s">
        <v>1318</v>
      </c>
      <c r="D224" s="34">
        <f>SUM(D222:D223)</f>
        <v>592</v>
      </c>
      <c r="E224" s="34">
        <f>SUM(E222:E223)</f>
        <v>0</v>
      </c>
      <c r="F224" s="34">
        <f>SUM(F222:F223)</f>
        <v>592</v>
      </c>
      <c r="G224" s="34"/>
      <c r="H224" s="34">
        <f>SUM(H222:H223)</f>
        <v>592</v>
      </c>
      <c r="I224" s="34"/>
      <c r="J224" s="34">
        <f>SUM(J222:J223)</f>
        <v>592</v>
      </c>
      <c r="K224" s="34"/>
      <c r="L224" s="34">
        <f>SUM(L222:L223)</f>
        <v>592</v>
      </c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85">
      <c r="A225" s="23"/>
      <c r="B225" s="121"/>
      <c r="C225" s="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85" s="192" customFormat="1" ht="17.25" customHeight="1">
      <c r="A226" s="189"/>
      <c r="B226" s="190" t="s">
        <v>32</v>
      </c>
      <c r="C226" s="193" t="s">
        <v>34</v>
      </c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33"/>
      <c r="S226" s="191"/>
      <c r="T226" s="191"/>
      <c r="U226" s="191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  <c r="BI226" s="215"/>
      <c r="BJ226" s="215"/>
      <c r="BK226" s="215"/>
      <c r="BL226" s="215"/>
      <c r="BM226" s="215"/>
      <c r="BN226" s="215"/>
      <c r="BO226" s="215"/>
      <c r="BP226" s="215"/>
      <c r="BQ226" s="215"/>
      <c r="BR226" s="215"/>
      <c r="BS226" s="215"/>
      <c r="BT226" s="215"/>
      <c r="BU226" s="215"/>
      <c r="BV226" s="215"/>
      <c r="BW226" s="215"/>
      <c r="BX226" s="215"/>
      <c r="BY226" s="215"/>
      <c r="BZ226" s="215"/>
      <c r="CA226" s="215"/>
      <c r="CB226" s="215"/>
      <c r="CC226" s="215"/>
      <c r="CD226" s="215"/>
      <c r="CE226" s="215"/>
      <c r="CF226" s="215"/>
      <c r="CG226" s="215"/>
    </row>
    <row r="227" spans="1:85">
      <c r="A227" s="23"/>
      <c r="B227" s="121"/>
      <c r="C227" s="4" t="s">
        <v>1280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85">
      <c r="A228" s="15" t="s">
        <v>1441</v>
      </c>
      <c r="B228" s="121"/>
      <c r="C228" s="2" t="s">
        <v>1292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</row>
    <row r="229" spans="1:85">
      <c r="A229" s="23" t="s">
        <v>1582</v>
      </c>
      <c r="B229" s="121"/>
      <c r="C229" s="51" t="s">
        <v>1295</v>
      </c>
      <c r="D229" s="33">
        <v>108</v>
      </c>
      <c r="E229" s="33"/>
      <c r="F229" s="33">
        <f>D229+E229</f>
        <v>108</v>
      </c>
      <c r="G229" s="33"/>
      <c r="H229" s="33">
        <f>F229+G229</f>
        <v>108</v>
      </c>
      <c r="I229" s="33"/>
      <c r="J229" s="33">
        <f>H229+I229</f>
        <v>108</v>
      </c>
      <c r="K229" s="33"/>
      <c r="L229" s="33">
        <f>J229+K229</f>
        <v>108</v>
      </c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85">
      <c r="A230" s="23"/>
      <c r="B230" s="121"/>
      <c r="C230" s="2" t="s">
        <v>1318</v>
      </c>
      <c r="D230" s="34">
        <f>SUM(D229:D229)</f>
        <v>108</v>
      </c>
      <c r="E230" s="34">
        <f>SUM(E229:E229)</f>
        <v>0</v>
      </c>
      <c r="F230" s="34">
        <f>SUM(F229:F229)</f>
        <v>108</v>
      </c>
      <c r="G230" s="34"/>
      <c r="H230" s="34">
        <f>SUM(H229:H229)</f>
        <v>108</v>
      </c>
      <c r="I230" s="34"/>
      <c r="J230" s="34">
        <f>SUM(J229:J229)</f>
        <v>108</v>
      </c>
      <c r="K230" s="34"/>
      <c r="L230" s="34">
        <f>SUM(L229:L229)</f>
        <v>108</v>
      </c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85">
      <c r="A231" s="23"/>
      <c r="B231" s="121"/>
      <c r="C231" s="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85" s="192" customFormat="1" ht="17.25" customHeight="1">
      <c r="A232" s="189"/>
      <c r="B232" s="190" t="s">
        <v>35</v>
      </c>
      <c r="C232" s="193" t="s">
        <v>36</v>
      </c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33"/>
      <c r="S232" s="191"/>
      <c r="T232" s="191"/>
      <c r="U232" s="191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15"/>
      <c r="BG232" s="215"/>
      <c r="BH232" s="215"/>
      <c r="BI232" s="215"/>
      <c r="BJ232" s="215"/>
      <c r="BK232" s="215"/>
      <c r="BL232" s="215"/>
      <c r="BM232" s="215"/>
      <c r="BN232" s="215"/>
      <c r="BO232" s="215"/>
      <c r="BP232" s="215"/>
      <c r="BQ232" s="215"/>
      <c r="BR232" s="215"/>
      <c r="BS232" s="215"/>
      <c r="BT232" s="215"/>
      <c r="BU232" s="215"/>
      <c r="BV232" s="215"/>
      <c r="BW232" s="215"/>
      <c r="BX232" s="215"/>
      <c r="BY232" s="215"/>
      <c r="BZ232" s="215"/>
      <c r="CA232" s="215"/>
      <c r="CB232" s="215"/>
      <c r="CC232" s="215"/>
      <c r="CD232" s="215"/>
      <c r="CE232" s="215"/>
      <c r="CF232" s="215"/>
      <c r="CG232" s="215"/>
    </row>
    <row r="233" spans="1:85">
      <c r="A233" s="23"/>
      <c r="B233" s="121"/>
      <c r="C233" s="4" t="s">
        <v>1280</v>
      </c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85">
      <c r="A234" s="15" t="s">
        <v>1441</v>
      </c>
      <c r="B234" s="121"/>
      <c r="C234" s="2" t="s">
        <v>1292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85">
      <c r="A235" s="23" t="s">
        <v>1583</v>
      </c>
      <c r="B235" s="121"/>
      <c r="C235" s="51" t="s">
        <v>1295</v>
      </c>
      <c r="D235" s="33">
        <v>10</v>
      </c>
      <c r="E235" s="33"/>
      <c r="F235" s="33">
        <f>D235+E235</f>
        <v>10</v>
      </c>
      <c r="G235" s="33"/>
      <c r="H235" s="33">
        <f>F235+G235</f>
        <v>10</v>
      </c>
      <c r="I235" s="33"/>
      <c r="J235" s="33">
        <f>H235+I235</f>
        <v>10</v>
      </c>
      <c r="K235" s="33"/>
      <c r="L235" s="33">
        <f>J235+K235</f>
        <v>10</v>
      </c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85">
      <c r="A236" s="23"/>
      <c r="B236" s="121"/>
      <c r="C236" s="2" t="s">
        <v>1318</v>
      </c>
      <c r="D236" s="34">
        <f>SUM(D235:D235)</f>
        <v>10</v>
      </c>
      <c r="E236" s="34">
        <f>SUM(E235:E235)</f>
        <v>0</v>
      </c>
      <c r="F236" s="34">
        <f>SUM(F235:F235)</f>
        <v>10</v>
      </c>
      <c r="G236" s="34"/>
      <c r="H236" s="34">
        <f>SUM(H235:H235)</f>
        <v>10</v>
      </c>
      <c r="I236" s="34"/>
      <c r="J236" s="34">
        <f>SUM(J235:J235)</f>
        <v>10</v>
      </c>
      <c r="K236" s="34"/>
      <c r="L236" s="34">
        <f>SUM(L235:L235)</f>
        <v>10</v>
      </c>
      <c r="M236" s="33"/>
      <c r="N236" s="33"/>
      <c r="O236" s="33"/>
      <c r="P236" s="33"/>
      <c r="Q236" s="33"/>
      <c r="R236" s="33"/>
      <c r="S236" s="33"/>
      <c r="T236" s="33"/>
      <c r="U236" s="33"/>
    </row>
    <row r="237" spans="1:85">
      <c r="A237" s="23"/>
      <c r="B237" s="121"/>
      <c r="C237" s="94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85" s="192" customFormat="1" ht="17.25" customHeight="1">
      <c r="A238" s="189"/>
      <c r="B238" s="190" t="s">
        <v>35</v>
      </c>
      <c r="C238" s="193" t="s">
        <v>37</v>
      </c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33"/>
      <c r="S238" s="191"/>
      <c r="T238" s="191"/>
      <c r="U238" s="191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  <c r="BI238" s="215"/>
      <c r="BJ238" s="215"/>
      <c r="BK238" s="215"/>
      <c r="BL238" s="215"/>
      <c r="BM238" s="215"/>
      <c r="BN238" s="215"/>
      <c r="BO238" s="215"/>
      <c r="BP238" s="215"/>
      <c r="BQ238" s="215"/>
      <c r="BR238" s="215"/>
      <c r="BS238" s="215"/>
      <c r="BT238" s="215"/>
      <c r="BU238" s="215"/>
      <c r="BV238" s="215"/>
      <c r="BW238" s="215"/>
      <c r="BX238" s="215"/>
      <c r="BY238" s="215"/>
      <c r="BZ238" s="215"/>
      <c r="CA238" s="215"/>
      <c r="CB238" s="215"/>
      <c r="CC238" s="215"/>
      <c r="CD238" s="215"/>
      <c r="CE238" s="215"/>
      <c r="CF238" s="215"/>
      <c r="CG238" s="215"/>
    </row>
    <row r="239" spans="1:85">
      <c r="A239" s="23"/>
      <c r="B239" s="121"/>
      <c r="C239" s="4" t="s">
        <v>1280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85">
      <c r="A240" s="15" t="s">
        <v>1441</v>
      </c>
      <c r="B240" s="121"/>
      <c r="C240" s="2" t="s">
        <v>1292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</row>
    <row r="241" spans="1:85">
      <c r="A241" s="23" t="s">
        <v>1582</v>
      </c>
      <c r="B241" s="121"/>
      <c r="C241" s="51" t="s">
        <v>1295</v>
      </c>
      <c r="D241" s="33"/>
      <c r="E241" s="33"/>
      <c r="F241" s="33">
        <f>D241+E241</f>
        <v>0</v>
      </c>
      <c r="G241" s="33"/>
      <c r="H241" s="33">
        <f>F241+G241</f>
        <v>0</v>
      </c>
      <c r="I241" s="33"/>
      <c r="J241" s="33">
        <f>H241+I241</f>
        <v>0</v>
      </c>
      <c r="K241" s="33"/>
      <c r="L241" s="33">
        <f>J241+K241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1:85">
      <c r="A242" s="23"/>
      <c r="B242" s="121"/>
      <c r="C242" s="2" t="s">
        <v>1318</v>
      </c>
      <c r="D242" s="34">
        <f>SUM(D241:D241)</f>
        <v>0</v>
      </c>
      <c r="E242" s="34">
        <f>SUM(E241:E241)</f>
        <v>0</v>
      </c>
      <c r="F242" s="34">
        <f>SUM(F241:F241)</f>
        <v>0</v>
      </c>
      <c r="G242" s="34"/>
      <c r="H242" s="34">
        <f>SUM(H241:H241)</f>
        <v>0</v>
      </c>
      <c r="I242" s="34"/>
      <c r="J242" s="34">
        <f>SUM(J241:J241)</f>
        <v>0</v>
      </c>
      <c r="K242" s="34"/>
      <c r="L242" s="34">
        <f>SUM(L241:L241)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</row>
    <row r="243" spans="1:85">
      <c r="A243" s="23"/>
      <c r="B243" s="121"/>
      <c r="C243" s="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</row>
    <row r="244" spans="1:85" s="192" customFormat="1" ht="17.25" customHeight="1">
      <c r="A244" s="189"/>
      <c r="B244" s="190" t="s">
        <v>11</v>
      </c>
      <c r="C244" s="193" t="s">
        <v>38</v>
      </c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33"/>
      <c r="S244" s="191"/>
      <c r="T244" s="191"/>
      <c r="U244" s="191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5"/>
      <c r="BQ244" s="215"/>
      <c r="BR244" s="215"/>
      <c r="BS244" s="215"/>
      <c r="BT244" s="215"/>
      <c r="BU244" s="215"/>
      <c r="BV244" s="215"/>
      <c r="BW244" s="215"/>
      <c r="BX244" s="215"/>
      <c r="BY244" s="215"/>
      <c r="BZ244" s="215"/>
      <c r="CA244" s="215"/>
      <c r="CB244" s="215"/>
      <c r="CC244" s="215"/>
      <c r="CD244" s="215"/>
      <c r="CE244" s="215"/>
      <c r="CF244" s="215"/>
      <c r="CG244" s="215"/>
    </row>
    <row r="245" spans="1:85">
      <c r="A245" s="23"/>
      <c r="B245" s="121"/>
      <c r="C245" s="4" t="s">
        <v>1280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</row>
    <row r="246" spans="1:85">
      <c r="A246" s="15" t="s">
        <v>1441</v>
      </c>
      <c r="B246" s="121"/>
      <c r="C246" s="2" t="s">
        <v>1292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</row>
    <row r="247" spans="1:85">
      <c r="A247" s="23" t="s">
        <v>1584</v>
      </c>
      <c r="B247" s="121"/>
      <c r="C247" s="51" t="s">
        <v>1295</v>
      </c>
      <c r="D247" s="33"/>
      <c r="E247" s="33"/>
      <c r="F247" s="33">
        <f>D247+E247</f>
        <v>0</v>
      </c>
      <c r="G247" s="33"/>
      <c r="H247" s="33">
        <f>F247+G247</f>
        <v>0</v>
      </c>
      <c r="I247" s="33"/>
      <c r="J247" s="33">
        <f>H247+I247</f>
        <v>0</v>
      </c>
      <c r="K247" s="33"/>
      <c r="L247" s="33">
        <f>J247+K247</f>
        <v>0</v>
      </c>
      <c r="M247" s="33"/>
      <c r="N247" s="33"/>
      <c r="O247" s="33"/>
      <c r="P247" s="33"/>
      <c r="Q247" s="33"/>
      <c r="R247" s="33"/>
      <c r="S247" s="33"/>
      <c r="T247" s="33"/>
      <c r="U247" s="33"/>
    </row>
    <row r="248" spans="1:85">
      <c r="A248" s="23"/>
      <c r="B248" s="121"/>
      <c r="C248" s="2" t="s">
        <v>1318</v>
      </c>
      <c r="D248" s="34">
        <f>SUM(D247:D247)</f>
        <v>0</v>
      </c>
      <c r="E248" s="34">
        <f>SUM(E247:E247)</f>
        <v>0</v>
      </c>
      <c r="F248" s="34">
        <f>SUM(F247:F247)</f>
        <v>0</v>
      </c>
      <c r="G248" s="34"/>
      <c r="H248" s="34">
        <f>SUM(H247:H247)</f>
        <v>0</v>
      </c>
      <c r="I248" s="34"/>
      <c r="J248" s="34">
        <f>SUM(J247:J247)</f>
        <v>0</v>
      </c>
      <c r="K248" s="34"/>
      <c r="L248" s="34">
        <f>SUM(L247:L247)</f>
        <v>0</v>
      </c>
      <c r="M248" s="33"/>
      <c r="N248" s="33"/>
      <c r="O248" s="33"/>
      <c r="P248" s="33"/>
      <c r="Q248" s="33"/>
      <c r="R248" s="33"/>
      <c r="S248" s="33"/>
      <c r="T248" s="33"/>
      <c r="U248" s="33"/>
    </row>
    <row r="249" spans="1:85">
      <c r="A249" s="23"/>
      <c r="B249" s="121"/>
      <c r="C249" s="2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85" s="192" customFormat="1" ht="17.25" customHeight="1">
      <c r="A250" s="189"/>
      <c r="B250" s="190" t="s">
        <v>32</v>
      </c>
      <c r="C250" s="193" t="s">
        <v>39</v>
      </c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33"/>
      <c r="S250" s="191"/>
      <c r="T250" s="191"/>
      <c r="U250" s="191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5"/>
      <c r="CA250" s="215"/>
      <c r="CB250" s="215"/>
      <c r="CC250" s="215"/>
      <c r="CD250" s="215"/>
      <c r="CE250" s="215"/>
      <c r="CF250" s="215"/>
      <c r="CG250" s="215"/>
    </row>
    <row r="251" spans="1:85">
      <c r="A251" s="23"/>
      <c r="B251" s="121"/>
      <c r="C251" s="4" t="s">
        <v>1280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1:85">
      <c r="A252" s="15" t="s">
        <v>1441</v>
      </c>
      <c r="B252" s="121"/>
      <c r="C252" s="2" t="s">
        <v>1292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</row>
    <row r="253" spans="1:85">
      <c r="A253" s="23" t="s">
        <v>1582</v>
      </c>
      <c r="B253" s="121"/>
      <c r="C253" s="51" t="s">
        <v>1295</v>
      </c>
      <c r="D253" s="33">
        <v>96</v>
      </c>
      <c r="E253" s="33"/>
      <c r="F253" s="33">
        <f>D253+E253</f>
        <v>96</v>
      </c>
      <c r="G253" s="33"/>
      <c r="H253" s="33">
        <f>F253+G253</f>
        <v>96</v>
      </c>
      <c r="I253" s="33"/>
      <c r="J253" s="33">
        <f>H253+I253</f>
        <v>96</v>
      </c>
      <c r="K253" s="33">
        <v>591</v>
      </c>
      <c r="L253" s="33">
        <f>J253+K253</f>
        <v>687</v>
      </c>
      <c r="M253" s="33"/>
      <c r="N253" s="33"/>
      <c r="O253" s="33"/>
      <c r="P253" s="33"/>
      <c r="Q253" s="33"/>
      <c r="R253" s="33"/>
      <c r="S253" s="33"/>
      <c r="T253" s="33"/>
      <c r="U253" s="33"/>
    </row>
    <row r="254" spans="1:85">
      <c r="A254" s="23"/>
      <c r="B254" s="121"/>
      <c r="C254" s="2" t="s">
        <v>1318</v>
      </c>
      <c r="D254" s="34">
        <f>SUM(D253:D253)</f>
        <v>96</v>
      </c>
      <c r="E254" s="34">
        <f>SUM(E253:E253)</f>
        <v>0</v>
      </c>
      <c r="F254" s="34">
        <f>SUM(F253:F253)</f>
        <v>96</v>
      </c>
      <c r="G254" s="34"/>
      <c r="H254" s="34">
        <f>SUM(H253:H253)</f>
        <v>96</v>
      </c>
      <c r="I254" s="34"/>
      <c r="J254" s="34">
        <f>SUM(J253:J253)</f>
        <v>96</v>
      </c>
      <c r="K254" s="34">
        <f>SUM(K253:K253)</f>
        <v>591</v>
      </c>
      <c r="L254" s="34">
        <f>SUM(L253:L253)</f>
        <v>687</v>
      </c>
      <c r="M254" s="33"/>
      <c r="N254" s="33"/>
      <c r="O254" s="33"/>
      <c r="P254" s="33"/>
      <c r="Q254" s="33"/>
      <c r="R254" s="33"/>
      <c r="S254" s="33"/>
      <c r="T254" s="33"/>
      <c r="U254" s="33"/>
    </row>
    <row r="255" spans="1:85">
      <c r="A255" s="23"/>
      <c r="B255" s="121"/>
      <c r="C255" s="2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</row>
    <row r="256" spans="1:85" s="192" customFormat="1" ht="17.25" customHeight="1">
      <c r="A256" s="189"/>
      <c r="B256" s="190" t="s">
        <v>35</v>
      </c>
      <c r="C256" s="193" t="s">
        <v>40</v>
      </c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33"/>
      <c r="S256" s="191"/>
      <c r="T256" s="191"/>
      <c r="U256" s="191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15"/>
      <c r="AZ256" s="215"/>
      <c r="BA256" s="215"/>
      <c r="BB256" s="215"/>
      <c r="BC256" s="215"/>
      <c r="BD256" s="215"/>
      <c r="BE256" s="215"/>
      <c r="BF256" s="215"/>
      <c r="BG256" s="215"/>
      <c r="BH256" s="215"/>
      <c r="BI256" s="215"/>
      <c r="BJ256" s="215"/>
      <c r="BK256" s="215"/>
      <c r="BL256" s="215"/>
      <c r="BM256" s="215"/>
      <c r="BN256" s="215"/>
      <c r="BO256" s="215"/>
      <c r="BP256" s="215"/>
      <c r="BQ256" s="215"/>
      <c r="BR256" s="215"/>
      <c r="BS256" s="215"/>
      <c r="BT256" s="215"/>
      <c r="BU256" s="215"/>
      <c r="BV256" s="215"/>
      <c r="BW256" s="215"/>
      <c r="BX256" s="215"/>
      <c r="BY256" s="215"/>
      <c r="BZ256" s="215"/>
      <c r="CA256" s="215"/>
      <c r="CB256" s="215"/>
      <c r="CC256" s="215"/>
      <c r="CD256" s="215"/>
      <c r="CE256" s="215"/>
      <c r="CF256" s="215"/>
      <c r="CG256" s="215"/>
    </row>
    <row r="257" spans="1:85">
      <c r="A257" s="23"/>
      <c r="B257" s="121"/>
      <c r="C257" s="4" t="s">
        <v>1280</v>
      </c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</row>
    <row r="258" spans="1:85">
      <c r="A258" s="15" t="s">
        <v>1441</v>
      </c>
      <c r="B258" s="121"/>
      <c r="C258" s="2" t="s">
        <v>1578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</row>
    <row r="259" spans="1:85">
      <c r="A259" s="23" t="s">
        <v>1556</v>
      </c>
      <c r="B259" s="121"/>
      <c r="C259" s="52" t="s">
        <v>1555</v>
      </c>
      <c r="D259" s="33"/>
      <c r="E259" s="33"/>
      <c r="F259" s="33">
        <f>D259+E259</f>
        <v>0</v>
      </c>
      <c r="G259" s="33"/>
      <c r="H259" s="33">
        <f>F259+G259</f>
        <v>0</v>
      </c>
      <c r="I259" s="33"/>
      <c r="J259" s="33">
        <f>H259+I259</f>
        <v>0</v>
      </c>
      <c r="K259" s="33"/>
      <c r="L259" s="33">
        <f>J259+K259</f>
        <v>0</v>
      </c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1:85">
      <c r="A260" s="23"/>
      <c r="B260" s="121"/>
      <c r="C260" s="2" t="s">
        <v>1318</v>
      </c>
      <c r="D260" s="34">
        <f>SUM(D259:D259)</f>
        <v>0</v>
      </c>
      <c r="E260" s="34">
        <f>SUM(E259:E259)</f>
        <v>0</v>
      </c>
      <c r="F260" s="34">
        <f>SUM(F259:F259)</f>
        <v>0</v>
      </c>
      <c r="G260" s="34"/>
      <c r="H260" s="34">
        <f>SUM(H259:H259)</f>
        <v>0</v>
      </c>
      <c r="I260" s="34"/>
      <c r="J260" s="34">
        <f>SUM(J259:J259)</f>
        <v>0</v>
      </c>
      <c r="K260" s="34"/>
      <c r="L260" s="34">
        <f>SUM(L259:L259)</f>
        <v>0</v>
      </c>
      <c r="M260" s="33"/>
      <c r="N260" s="33"/>
      <c r="O260" s="33"/>
      <c r="P260" s="33"/>
      <c r="Q260" s="33"/>
      <c r="R260" s="33"/>
      <c r="S260" s="33"/>
      <c r="T260" s="33"/>
      <c r="U260" s="33"/>
    </row>
    <row r="261" spans="1:85">
      <c r="A261" s="23"/>
      <c r="B261" s="121"/>
      <c r="C261" s="2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</row>
    <row r="262" spans="1:85" s="192" customFormat="1" ht="17.25" customHeight="1">
      <c r="A262" s="189"/>
      <c r="B262" s="190" t="s">
        <v>32</v>
      </c>
      <c r="C262" s="193" t="s">
        <v>41</v>
      </c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33"/>
      <c r="S262" s="191"/>
      <c r="T262" s="191"/>
      <c r="U262" s="191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5"/>
      <c r="AY262" s="215"/>
      <c r="AZ262" s="215"/>
      <c r="BA262" s="215"/>
      <c r="BB262" s="215"/>
      <c r="BC262" s="215"/>
      <c r="BD262" s="215"/>
      <c r="BE262" s="215"/>
      <c r="BF262" s="215"/>
      <c r="BG262" s="215"/>
      <c r="BH262" s="215"/>
      <c r="BI262" s="215"/>
      <c r="BJ262" s="215"/>
      <c r="BK262" s="215"/>
      <c r="BL262" s="215"/>
      <c r="BM262" s="215"/>
      <c r="BN262" s="215"/>
      <c r="BO262" s="215"/>
      <c r="BP262" s="215"/>
      <c r="BQ262" s="215"/>
      <c r="BR262" s="215"/>
      <c r="BS262" s="215"/>
      <c r="BT262" s="215"/>
      <c r="BU262" s="215"/>
      <c r="BV262" s="215"/>
      <c r="BW262" s="215"/>
      <c r="BX262" s="215"/>
      <c r="BY262" s="215"/>
      <c r="BZ262" s="215"/>
      <c r="CA262" s="215"/>
      <c r="CB262" s="215"/>
      <c r="CC262" s="215"/>
      <c r="CD262" s="215"/>
      <c r="CE262" s="215"/>
      <c r="CF262" s="215"/>
      <c r="CG262" s="215"/>
    </row>
    <row r="263" spans="1:85">
      <c r="A263" s="23"/>
      <c r="B263" s="121"/>
      <c r="C263" s="4" t="s">
        <v>1280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1:85">
      <c r="A264" s="15" t="s">
        <v>1441</v>
      </c>
      <c r="B264" s="121"/>
      <c r="C264" s="2" t="s">
        <v>1578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</row>
    <row r="265" spans="1:85">
      <c r="A265" s="23" t="s">
        <v>1556</v>
      </c>
      <c r="B265" s="121"/>
      <c r="C265" s="52" t="s">
        <v>1555</v>
      </c>
      <c r="D265" s="33"/>
      <c r="E265" s="33"/>
      <c r="F265" s="33">
        <f>D265+E265</f>
        <v>0</v>
      </c>
      <c r="G265" s="33"/>
      <c r="H265" s="33">
        <f>F265+G265</f>
        <v>0</v>
      </c>
      <c r="I265" s="33"/>
      <c r="J265" s="33">
        <f>H265+I265</f>
        <v>0</v>
      </c>
      <c r="K265" s="33"/>
      <c r="L265" s="33">
        <f>J265+K265</f>
        <v>0</v>
      </c>
      <c r="M265" s="33"/>
      <c r="N265" s="33"/>
      <c r="O265" s="33"/>
      <c r="P265" s="33"/>
      <c r="Q265" s="33"/>
      <c r="R265" s="33"/>
      <c r="S265" s="33"/>
      <c r="T265" s="33"/>
      <c r="U265" s="33"/>
    </row>
    <row r="266" spans="1:85">
      <c r="A266" s="23"/>
      <c r="B266" s="121"/>
      <c r="C266" s="2" t="s">
        <v>1318</v>
      </c>
      <c r="D266" s="34">
        <f>SUM(D265:D265)</f>
        <v>0</v>
      </c>
      <c r="E266" s="34">
        <f>SUM(E265:E265)</f>
        <v>0</v>
      </c>
      <c r="F266" s="34">
        <f>SUM(F265:F265)</f>
        <v>0</v>
      </c>
      <c r="G266" s="34"/>
      <c r="H266" s="34">
        <f>SUM(H265:H265)</f>
        <v>0</v>
      </c>
      <c r="I266" s="34"/>
      <c r="J266" s="34">
        <f>SUM(J265:J265)</f>
        <v>0</v>
      </c>
      <c r="K266" s="34"/>
      <c r="L266" s="34">
        <f>SUM(L265:L265)</f>
        <v>0</v>
      </c>
      <c r="M266" s="33"/>
      <c r="N266" s="33"/>
      <c r="O266" s="33"/>
      <c r="P266" s="33"/>
      <c r="Q266" s="33"/>
      <c r="R266" s="33"/>
      <c r="S266" s="33"/>
      <c r="T266" s="33"/>
      <c r="U266" s="33"/>
    </row>
    <row r="267" spans="1:85">
      <c r="A267" s="23"/>
      <c r="B267" s="121"/>
      <c r="C267" s="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85" s="192" customFormat="1" ht="17.25" customHeight="1">
      <c r="A268" s="189"/>
      <c r="B268" s="190" t="s">
        <v>42</v>
      </c>
      <c r="C268" s="193" t="s">
        <v>43</v>
      </c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33"/>
      <c r="S268" s="191"/>
      <c r="T268" s="191"/>
      <c r="U268" s="191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  <c r="BI268" s="215"/>
      <c r="BJ268" s="215"/>
      <c r="BK268" s="215"/>
      <c r="BL268" s="215"/>
      <c r="BM268" s="215"/>
      <c r="BN268" s="215"/>
      <c r="BO268" s="215"/>
      <c r="BP268" s="215"/>
      <c r="BQ268" s="215"/>
      <c r="BR268" s="215"/>
      <c r="BS268" s="215"/>
      <c r="BT268" s="215"/>
      <c r="BU268" s="215"/>
      <c r="BV268" s="215"/>
      <c r="BW268" s="215"/>
      <c r="BX268" s="215"/>
      <c r="BY268" s="215"/>
      <c r="BZ268" s="215"/>
      <c r="CA268" s="215"/>
      <c r="CB268" s="215"/>
      <c r="CC268" s="215"/>
      <c r="CD268" s="215"/>
      <c r="CE268" s="215"/>
      <c r="CF268" s="215"/>
      <c r="CG268" s="215"/>
    </row>
    <row r="269" spans="1:85">
      <c r="A269" s="23"/>
      <c r="B269" s="121"/>
      <c r="C269" s="4" t="s">
        <v>1280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</row>
    <row r="270" spans="1:85">
      <c r="A270" s="15" t="s">
        <v>1441</v>
      </c>
      <c r="B270" s="121"/>
      <c r="C270" s="2" t="s">
        <v>1578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1:85">
      <c r="A271" s="23" t="s">
        <v>1585</v>
      </c>
      <c r="B271" s="121"/>
      <c r="C271" s="52" t="s">
        <v>1586</v>
      </c>
      <c r="D271" s="33">
        <v>960</v>
      </c>
      <c r="E271" s="33"/>
      <c r="F271" s="33">
        <f>D271+E271</f>
        <v>960</v>
      </c>
      <c r="G271" s="33">
        <v>789</v>
      </c>
      <c r="H271" s="33">
        <f>F271+G271</f>
        <v>1749</v>
      </c>
      <c r="I271" s="33"/>
      <c r="J271" s="33">
        <f>H271+I271</f>
        <v>1749</v>
      </c>
      <c r="K271" s="33">
        <v>22</v>
      </c>
      <c r="L271" s="33">
        <f>J271+K271</f>
        <v>1771</v>
      </c>
      <c r="M271" s="33"/>
      <c r="N271" s="33"/>
      <c r="O271" s="33"/>
      <c r="P271" s="33"/>
      <c r="Q271" s="33"/>
      <c r="R271" s="33"/>
      <c r="S271" s="33"/>
      <c r="T271" s="33"/>
      <c r="U271" s="33"/>
    </row>
    <row r="272" spans="1:85">
      <c r="A272" s="23"/>
      <c r="B272" s="121"/>
      <c r="C272" s="2" t="s">
        <v>1318</v>
      </c>
      <c r="D272" s="34">
        <f>SUM(D271:D271)</f>
        <v>960</v>
      </c>
      <c r="E272" s="34">
        <f>SUM(E271:E271)</f>
        <v>0</v>
      </c>
      <c r="F272" s="34">
        <f>SUM(F271:F271)</f>
        <v>960</v>
      </c>
      <c r="G272" s="34"/>
      <c r="H272" s="34">
        <f>SUM(H271:H271)</f>
        <v>1749</v>
      </c>
      <c r="I272" s="34"/>
      <c r="J272" s="34">
        <f>SUM(J271:J271)</f>
        <v>1749</v>
      </c>
      <c r="K272" s="34">
        <f>SUM(K271:K271)</f>
        <v>22</v>
      </c>
      <c r="L272" s="34">
        <f>SUM(L271:L271)</f>
        <v>1771</v>
      </c>
      <c r="M272" s="33"/>
      <c r="N272" s="33"/>
      <c r="O272" s="33"/>
      <c r="P272" s="33"/>
      <c r="Q272" s="33"/>
      <c r="R272" s="33"/>
      <c r="S272" s="33"/>
      <c r="T272" s="33"/>
      <c r="U272" s="33"/>
    </row>
    <row r="273" spans="1:85">
      <c r="A273" s="23"/>
      <c r="B273" s="121"/>
      <c r="C273" s="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</row>
    <row r="274" spans="1:85" s="192" customFormat="1" ht="32.25" customHeight="1">
      <c r="A274" s="189"/>
      <c r="B274" s="190" t="s">
        <v>44</v>
      </c>
      <c r="C274" s="288" t="s">
        <v>45</v>
      </c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33"/>
      <c r="S274" s="191"/>
      <c r="T274" s="191"/>
      <c r="U274" s="191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  <c r="AG274" s="215"/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5"/>
      <c r="AZ274" s="215"/>
      <c r="BA274" s="215"/>
      <c r="BB274" s="215"/>
      <c r="BC274" s="215"/>
      <c r="BD274" s="215"/>
      <c r="BE274" s="215"/>
      <c r="BF274" s="215"/>
      <c r="BG274" s="215"/>
      <c r="BH274" s="215"/>
      <c r="BI274" s="215"/>
      <c r="BJ274" s="215"/>
      <c r="BK274" s="215"/>
      <c r="BL274" s="215"/>
      <c r="BM274" s="215"/>
      <c r="BN274" s="215"/>
      <c r="BO274" s="215"/>
      <c r="BP274" s="215"/>
      <c r="BQ274" s="215"/>
      <c r="BR274" s="215"/>
      <c r="BS274" s="215"/>
      <c r="BT274" s="215"/>
      <c r="BU274" s="215"/>
      <c r="BV274" s="215"/>
      <c r="BW274" s="215"/>
      <c r="BX274" s="215"/>
      <c r="BY274" s="215"/>
      <c r="BZ274" s="215"/>
      <c r="CA274" s="215"/>
      <c r="CB274" s="215"/>
      <c r="CC274" s="215"/>
      <c r="CD274" s="215"/>
      <c r="CE274" s="215"/>
      <c r="CF274" s="215"/>
      <c r="CG274" s="215"/>
    </row>
    <row r="275" spans="1:85">
      <c r="A275" s="23"/>
      <c r="B275" s="121"/>
      <c r="C275" s="4" t="s">
        <v>1280</v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1:85">
      <c r="A276" s="15" t="s">
        <v>1441</v>
      </c>
      <c r="B276" s="121"/>
      <c r="C276" s="2" t="s">
        <v>1292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</row>
    <row r="277" spans="1:85">
      <c r="A277" s="23" t="s">
        <v>1433</v>
      </c>
      <c r="B277" s="121"/>
      <c r="C277" s="51" t="s">
        <v>1293</v>
      </c>
      <c r="D277" s="33">
        <v>21642</v>
      </c>
      <c r="E277" s="33">
        <v>2533</v>
      </c>
      <c r="F277" s="33">
        <f>D277+E277</f>
        <v>24175</v>
      </c>
      <c r="G277" s="33"/>
      <c r="H277" s="33">
        <f>F277+G277</f>
        <v>24175</v>
      </c>
      <c r="I277" s="33"/>
      <c r="J277" s="33">
        <f>H277+I277</f>
        <v>24175</v>
      </c>
      <c r="K277" s="33"/>
      <c r="L277" s="33">
        <f>J277+K277</f>
        <v>24175</v>
      </c>
      <c r="M277" s="33"/>
      <c r="N277" s="33"/>
      <c r="O277" s="33"/>
      <c r="P277" s="33"/>
      <c r="Q277" s="33"/>
      <c r="R277" s="33"/>
      <c r="S277" s="33"/>
      <c r="T277" s="33"/>
      <c r="U277" s="33"/>
    </row>
    <row r="278" spans="1:85">
      <c r="A278" s="23" t="s">
        <v>1434</v>
      </c>
      <c r="B278" s="121"/>
      <c r="C278" s="58" t="s">
        <v>1435</v>
      </c>
      <c r="D278" s="33">
        <v>2922</v>
      </c>
      <c r="E278" s="33">
        <v>342</v>
      </c>
      <c r="F278" s="33">
        <f>D278+E278</f>
        <v>3264</v>
      </c>
      <c r="G278" s="33"/>
      <c r="H278" s="33">
        <f>F278+G278</f>
        <v>3264</v>
      </c>
      <c r="I278" s="33"/>
      <c r="J278" s="33">
        <f>H278+I278</f>
        <v>3264</v>
      </c>
      <c r="K278" s="33"/>
      <c r="L278" s="33">
        <f>J278+K278</f>
        <v>3264</v>
      </c>
      <c r="M278" s="33"/>
      <c r="N278" s="33"/>
      <c r="O278" s="33"/>
      <c r="P278" s="33"/>
      <c r="Q278" s="33"/>
      <c r="R278" s="33"/>
      <c r="S278" s="33"/>
      <c r="T278" s="33"/>
      <c r="U278" s="33"/>
    </row>
    <row r="279" spans="1:85">
      <c r="A279" s="23" t="s">
        <v>1454</v>
      </c>
      <c r="B279" s="121"/>
      <c r="C279" s="51" t="s">
        <v>1294</v>
      </c>
      <c r="D279" s="33"/>
      <c r="E279" s="33">
        <v>122</v>
      </c>
      <c r="F279" s="33">
        <f>D279+E279</f>
        <v>122</v>
      </c>
      <c r="G279" s="33"/>
      <c r="H279" s="33">
        <f>F279+G279</f>
        <v>122</v>
      </c>
      <c r="I279" s="33"/>
      <c r="J279" s="33">
        <f>H279+I279</f>
        <v>122</v>
      </c>
      <c r="K279" s="33"/>
      <c r="L279" s="33">
        <f>J279+K279</f>
        <v>122</v>
      </c>
      <c r="M279" s="33"/>
      <c r="N279" s="33"/>
      <c r="O279" s="33"/>
      <c r="P279" s="33"/>
      <c r="Q279" s="33"/>
      <c r="R279" s="33"/>
      <c r="S279" s="33"/>
      <c r="T279" s="33"/>
      <c r="U279" s="33"/>
    </row>
    <row r="280" spans="1:85" ht="22.5">
      <c r="A280" s="15" t="s">
        <v>1442</v>
      </c>
      <c r="B280" s="121"/>
      <c r="C280" s="94" t="s">
        <v>1553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</row>
    <row r="281" spans="1:85" ht="19.5">
      <c r="A281" s="23" t="s">
        <v>1552</v>
      </c>
      <c r="B281" s="121"/>
      <c r="C281" s="60" t="s">
        <v>1624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>
        <v>24410</v>
      </c>
      <c r="N281" s="33">
        <v>2566</v>
      </c>
      <c r="O281" s="33">
        <f>M281+N281</f>
        <v>26976</v>
      </c>
      <c r="P281" s="33"/>
      <c r="Q281" s="33">
        <f>O281+P281</f>
        <v>26976</v>
      </c>
      <c r="R281" s="33"/>
      <c r="S281" s="33">
        <f>Q281+R281</f>
        <v>26976</v>
      </c>
      <c r="T281" s="33"/>
      <c r="U281" s="33">
        <f>S281+T281</f>
        <v>26976</v>
      </c>
    </row>
    <row r="282" spans="1:85">
      <c r="A282" s="23"/>
      <c r="B282" s="121"/>
      <c r="C282" s="4" t="s">
        <v>1303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</row>
    <row r="283" spans="1:85">
      <c r="A283" s="15" t="s">
        <v>1442</v>
      </c>
      <c r="B283" s="121"/>
      <c r="C283" s="2" t="s">
        <v>1304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</row>
    <row r="284" spans="1:85" ht="19.5">
      <c r="A284" s="23" t="s">
        <v>1587</v>
      </c>
      <c r="B284" s="121"/>
      <c r="C284" s="60" t="s">
        <v>1589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</row>
    <row r="285" spans="1:85">
      <c r="A285" s="15" t="s">
        <v>1441</v>
      </c>
      <c r="B285" s="121"/>
      <c r="C285" s="2" t="s">
        <v>1307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1:85">
      <c r="A286" s="23" t="s">
        <v>1561</v>
      </c>
      <c r="B286" s="121"/>
      <c r="C286" s="52" t="s">
        <v>1309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</row>
    <row r="287" spans="1:85">
      <c r="A287" s="23"/>
      <c r="B287" s="121"/>
      <c r="C287" s="2" t="s">
        <v>1318</v>
      </c>
      <c r="D287" s="34">
        <f t="shared" ref="D287:P287" si="26">SUM(D277:D286)</f>
        <v>24564</v>
      </c>
      <c r="E287" s="34">
        <f t="shared" si="26"/>
        <v>2997</v>
      </c>
      <c r="F287" s="34">
        <f t="shared" si="26"/>
        <v>27561</v>
      </c>
      <c r="G287" s="34"/>
      <c r="H287" s="34">
        <f>SUM(H277:H286)</f>
        <v>27561</v>
      </c>
      <c r="I287" s="34"/>
      <c r="J287" s="34">
        <f>SUM(J277:J286)</f>
        <v>27561</v>
      </c>
      <c r="K287" s="34"/>
      <c r="L287" s="34">
        <f>SUM(L277:L286)</f>
        <v>27561</v>
      </c>
      <c r="M287" s="34">
        <f t="shared" si="26"/>
        <v>24410</v>
      </c>
      <c r="N287" s="34">
        <f t="shared" si="26"/>
        <v>2566</v>
      </c>
      <c r="O287" s="34">
        <f t="shared" si="26"/>
        <v>26976</v>
      </c>
      <c r="P287" s="34">
        <f t="shared" si="26"/>
        <v>0</v>
      </c>
      <c r="Q287" s="34">
        <f>SUM(Q277:Q286)</f>
        <v>26976</v>
      </c>
      <c r="R287" s="34">
        <f>SUM(R277:R286)</f>
        <v>0</v>
      </c>
      <c r="S287" s="34">
        <f>SUM(S277:S286)</f>
        <v>26976</v>
      </c>
      <c r="T287" s="34">
        <f>SUM(T277:T286)</f>
        <v>0</v>
      </c>
      <c r="U287" s="34">
        <f>SUM(U277:U286)</f>
        <v>26976</v>
      </c>
    </row>
    <row r="288" spans="1:85">
      <c r="A288" s="23"/>
      <c r="B288" s="121"/>
      <c r="C288" s="52" t="s">
        <v>1322</v>
      </c>
      <c r="D288" s="34">
        <v>69</v>
      </c>
      <c r="E288" s="34"/>
      <c r="F288" s="34">
        <v>69</v>
      </c>
      <c r="G288" s="34"/>
      <c r="H288" s="34">
        <v>69</v>
      </c>
      <c r="I288" s="34"/>
      <c r="J288" s="34">
        <v>69</v>
      </c>
      <c r="K288" s="34"/>
      <c r="L288" s="34">
        <v>69</v>
      </c>
      <c r="M288" s="33"/>
      <c r="N288" s="33"/>
      <c r="O288" s="33"/>
      <c r="P288" s="33"/>
      <c r="Q288" s="33"/>
      <c r="R288" s="33"/>
      <c r="S288" s="33"/>
      <c r="T288" s="33"/>
      <c r="U288" s="33"/>
    </row>
    <row r="289" spans="1:85">
      <c r="A289" s="23"/>
      <c r="B289" s="121"/>
      <c r="C289" s="2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</row>
    <row r="290" spans="1:85" s="192" customFormat="1" ht="17.25" customHeight="1">
      <c r="A290" s="189"/>
      <c r="B290" s="190" t="s">
        <v>44</v>
      </c>
      <c r="C290" s="193" t="s">
        <v>46</v>
      </c>
      <c r="D290" s="191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33"/>
      <c r="S290" s="191"/>
      <c r="T290" s="191"/>
      <c r="U290" s="191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  <c r="AU290" s="215"/>
      <c r="AV290" s="215"/>
      <c r="AW290" s="215"/>
      <c r="AX290" s="215"/>
      <c r="AY290" s="215"/>
      <c r="AZ290" s="215"/>
      <c r="BA290" s="215"/>
      <c r="BB290" s="215"/>
      <c r="BC290" s="215"/>
      <c r="BD290" s="215"/>
      <c r="BE290" s="215"/>
      <c r="BF290" s="215"/>
      <c r="BG290" s="215"/>
      <c r="BH290" s="215"/>
      <c r="BI290" s="215"/>
      <c r="BJ290" s="215"/>
      <c r="BK290" s="215"/>
      <c r="BL290" s="215"/>
      <c r="BM290" s="215"/>
      <c r="BN290" s="215"/>
      <c r="BO290" s="215"/>
      <c r="BP290" s="215"/>
      <c r="BQ290" s="215"/>
      <c r="BR290" s="215"/>
      <c r="BS290" s="215"/>
      <c r="BT290" s="215"/>
      <c r="BU290" s="215"/>
      <c r="BV290" s="215"/>
      <c r="BW290" s="215"/>
      <c r="BX290" s="215"/>
      <c r="BY290" s="215"/>
      <c r="BZ290" s="215"/>
      <c r="CA290" s="215"/>
      <c r="CB290" s="215"/>
      <c r="CC290" s="215"/>
      <c r="CD290" s="215"/>
      <c r="CE290" s="215"/>
      <c r="CF290" s="215"/>
      <c r="CG290" s="215"/>
    </row>
    <row r="291" spans="1:85">
      <c r="A291" s="23"/>
      <c r="B291" s="121"/>
      <c r="C291" s="4" t="s">
        <v>1280</v>
      </c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</row>
    <row r="292" spans="1:85">
      <c r="A292" s="15" t="s">
        <v>1441</v>
      </c>
      <c r="B292" s="121"/>
      <c r="C292" s="2" t="s">
        <v>1292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</row>
    <row r="293" spans="1:85">
      <c r="A293" s="23" t="s">
        <v>1433</v>
      </c>
      <c r="B293" s="121"/>
      <c r="C293" s="51" t="s">
        <v>1293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1:85">
      <c r="A294" s="23" t="s">
        <v>1434</v>
      </c>
      <c r="B294" s="121"/>
      <c r="C294" s="58" t="s">
        <v>1435</v>
      </c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</row>
    <row r="295" spans="1:85">
      <c r="A295" s="23" t="s">
        <v>1454</v>
      </c>
      <c r="B295" s="121"/>
      <c r="C295" s="51" t="s">
        <v>1294</v>
      </c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</row>
    <row r="296" spans="1:85" ht="22.5">
      <c r="A296" s="15" t="s">
        <v>1442</v>
      </c>
      <c r="B296" s="121"/>
      <c r="C296" s="94" t="s">
        <v>1553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</row>
    <row r="297" spans="1:85" ht="19.5">
      <c r="A297" s="23" t="s">
        <v>1552</v>
      </c>
      <c r="B297" s="121"/>
      <c r="C297" s="60" t="s">
        <v>1624</v>
      </c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</row>
    <row r="298" spans="1:85">
      <c r="A298" s="23"/>
      <c r="B298" s="121"/>
      <c r="C298" s="4" t="s">
        <v>1303</v>
      </c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</row>
    <row r="299" spans="1:85">
      <c r="A299" s="15" t="s">
        <v>1442</v>
      </c>
      <c r="B299" s="121"/>
      <c r="C299" s="2" t="s">
        <v>1304</v>
      </c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</row>
    <row r="300" spans="1:85" ht="19.5">
      <c r="A300" s="23" t="s">
        <v>1587</v>
      </c>
      <c r="B300" s="121"/>
      <c r="C300" s="60" t="s">
        <v>1589</v>
      </c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</row>
    <row r="301" spans="1:85">
      <c r="A301" s="15" t="s">
        <v>1441</v>
      </c>
      <c r="B301" s="121"/>
      <c r="C301" s="2" t="s">
        <v>1307</v>
      </c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</row>
    <row r="302" spans="1:85">
      <c r="A302" s="23" t="s">
        <v>1561</v>
      </c>
      <c r="B302" s="121"/>
      <c r="C302" s="52" t="s">
        <v>1309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</row>
    <row r="303" spans="1:85">
      <c r="A303" s="23"/>
      <c r="B303" s="121"/>
      <c r="C303" s="2" t="s">
        <v>1318</v>
      </c>
      <c r="D303" s="34">
        <f t="shared" ref="D303:P303" si="27">SUM(D293:D302)</f>
        <v>0</v>
      </c>
      <c r="E303" s="34">
        <f t="shared" si="27"/>
        <v>0</v>
      </c>
      <c r="F303" s="34">
        <f t="shared" si="27"/>
        <v>0</v>
      </c>
      <c r="G303" s="34"/>
      <c r="H303" s="34">
        <f>SUM(H293:H302)</f>
        <v>0</v>
      </c>
      <c r="I303" s="34"/>
      <c r="J303" s="34">
        <f>SUM(J293:J302)</f>
        <v>0</v>
      </c>
      <c r="K303" s="34"/>
      <c r="L303" s="34">
        <f>SUM(L293:L302)</f>
        <v>0</v>
      </c>
      <c r="M303" s="34">
        <f t="shared" si="27"/>
        <v>0</v>
      </c>
      <c r="N303" s="34">
        <f t="shared" si="27"/>
        <v>0</v>
      </c>
      <c r="O303" s="34">
        <f t="shared" si="27"/>
        <v>0</v>
      </c>
      <c r="P303" s="34">
        <f t="shared" si="27"/>
        <v>0</v>
      </c>
      <c r="Q303" s="34">
        <f>SUM(Q293:Q302)</f>
        <v>0</v>
      </c>
      <c r="R303" s="34">
        <f>SUM(R293:R302)</f>
        <v>0</v>
      </c>
      <c r="S303" s="34">
        <f>SUM(S293:S302)</f>
        <v>0</v>
      </c>
      <c r="T303" s="34">
        <f>SUM(T293:T302)</f>
        <v>0</v>
      </c>
      <c r="U303" s="34">
        <f>SUM(U293:U302)</f>
        <v>0</v>
      </c>
    </row>
    <row r="304" spans="1:85">
      <c r="A304" s="23"/>
      <c r="B304" s="121"/>
      <c r="C304" s="52" t="s">
        <v>1322</v>
      </c>
      <c r="D304" s="34"/>
      <c r="E304" s="34"/>
      <c r="F304" s="34"/>
      <c r="G304" s="34"/>
      <c r="H304" s="34"/>
      <c r="I304" s="34"/>
      <c r="J304" s="34"/>
      <c r="K304" s="34"/>
      <c r="L304" s="34"/>
      <c r="M304" s="33"/>
      <c r="N304" s="33"/>
      <c r="O304" s="33"/>
      <c r="P304" s="33"/>
      <c r="Q304" s="33"/>
      <c r="R304" s="33"/>
      <c r="S304" s="33"/>
      <c r="T304" s="33"/>
      <c r="U304" s="33"/>
    </row>
    <row r="305" spans="1:85">
      <c r="A305" s="23"/>
      <c r="B305" s="121"/>
      <c r="C305" s="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</row>
    <row r="306" spans="1:85" s="192" customFormat="1" ht="17.25" customHeight="1">
      <c r="A306" s="189"/>
      <c r="B306" s="190" t="s">
        <v>10</v>
      </c>
      <c r="C306" s="193" t="s">
        <v>47</v>
      </c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33"/>
      <c r="S306" s="191"/>
      <c r="T306" s="191"/>
      <c r="U306" s="191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  <c r="AG306" s="215"/>
      <c r="AH306" s="215"/>
      <c r="AI306" s="215"/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5"/>
      <c r="AZ306" s="215"/>
      <c r="BA306" s="215"/>
      <c r="BB306" s="215"/>
      <c r="BC306" s="215"/>
      <c r="BD306" s="215"/>
      <c r="BE306" s="215"/>
      <c r="BF306" s="215"/>
      <c r="BG306" s="215"/>
      <c r="BH306" s="215"/>
      <c r="BI306" s="215"/>
      <c r="BJ306" s="215"/>
      <c r="BK306" s="215"/>
      <c r="BL306" s="215"/>
      <c r="BM306" s="215"/>
      <c r="BN306" s="215"/>
      <c r="BO306" s="215"/>
      <c r="BP306" s="215"/>
      <c r="BQ306" s="215"/>
      <c r="BR306" s="215"/>
      <c r="BS306" s="215"/>
      <c r="BT306" s="215"/>
      <c r="BU306" s="215"/>
      <c r="BV306" s="215"/>
      <c r="BW306" s="215"/>
      <c r="BX306" s="215"/>
      <c r="BY306" s="215"/>
      <c r="BZ306" s="215"/>
      <c r="CA306" s="215"/>
      <c r="CB306" s="215"/>
      <c r="CC306" s="215"/>
      <c r="CD306" s="215"/>
      <c r="CE306" s="215"/>
      <c r="CF306" s="215"/>
      <c r="CG306" s="215"/>
    </row>
    <row r="307" spans="1:85">
      <c r="A307" s="23"/>
      <c r="B307" s="121"/>
      <c r="C307" s="4" t="s">
        <v>1280</v>
      </c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</row>
    <row r="308" spans="1:85">
      <c r="A308" s="15" t="s">
        <v>1442</v>
      </c>
      <c r="B308" s="121"/>
      <c r="C308" s="2" t="s">
        <v>1281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</row>
    <row r="309" spans="1:85">
      <c r="A309" s="23" t="s">
        <v>1439</v>
      </c>
      <c r="B309" s="121"/>
      <c r="C309" s="58" t="s">
        <v>1281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>
        <v>500</v>
      </c>
      <c r="N309" s="33"/>
      <c r="O309" s="33">
        <f>M309+N309</f>
        <v>500</v>
      </c>
      <c r="P309" s="33"/>
      <c r="Q309" s="33">
        <f>O309+P309</f>
        <v>500</v>
      </c>
      <c r="R309" s="33"/>
      <c r="S309" s="33">
        <f>Q309+R309</f>
        <v>500</v>
      </c>
      <c r="T309" s="33"/>
      <c r="U309" s="33">
        <f>S309+T309</f>
        <v>500</v>
      </c>
    </row>
    <row r="310" spans="1:85">
      <c r="A310" s="15" t="s">
        <v>1441</v>
      </c>
      <c r="B310" s="121"/>
      <c r="C310" s="2" t="s">
        <v>1292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</row>
    <row r="311" spans="1:85">
      <c r="A311" s="23" t="s">
        <v>1454</v>
      </c>
      <c r="B311" s="121"/>
      <c r="C311" s="51" t="s">
        <v>1294</v>
      </c>
      <c r="D311" s="33">
        <v>8</v>
      </c>
      <c r="E311" s="33"/>
      <c r="F311" s="33">
        <f>D311+E311</f>
        <v>8</v>
      </c>
      <c r="G311" s="33"/>
      <c r="H311" s="33">
        <f>F311+G311</f>
        <v>8</v>
      </c>
      <c r="I311" s="33"/>
      <c r="J311" s="33">
        <f>H311+I311</f>
        <v>8</v>
      </c>
      <c r="K311" s="33"/>
      <c r="L311" s="33">
        <f>J311+K311</f>
        <v>8</v>
      </c>
      <c r="M311" s="33"/>
      <c r="N311" s="33"/>
      <c r="O311" s="33"/>
      <c r="P311" s="33"/>
      <c r="Q311" s="33"/>
      <c r="R311" s="33"/>
      <c r="S311" s="33"/>
      <c r="T311" s="33"/>
      <c r="U311" s="33"/>
    </row>
    <row r="312" spans="1:85">
      <c r="A312" s="23" t="s">
        <v>1436</v>
      </c>
      <c r="B312" s="121"/>
      <c r="C312" s="58" t="s">
        <v>1437</v>
      </c>
      <c r="D312" s="33">
        <v>2</v>
      </c>
      <c r="E312" s="33"/>
      <c r="F312" s="33">
        <f>D312+E312</f>
        <v>2</v>
      </c>
      <c r="G312" s="33"/>
      <c r="H312" s="33">
        <f>F312+G312</f>
        <v>2</v>
      </c>
      <c r="I312" s="33"/>
      <c r="J312" s="33">
        <f>H312+I312</f>
        <v>2</v>
      </c>
      <c r="K312" s="33"/>
      <c r="L312" s="33">
        <f>J312+K312</f>
        <v>2</v>
      </c>
      <c r="M312" s="33"/>
      <c r="N312" s="33"/>
      <c r="O312" s="33"/>
      <c r="P312" s="33"/>
      <c r="Q312" s="33"/>
      <c r="R312" s="33"/>
      <c r="S312" s="33"/>
      <c r="T312" s="33"/>
      <c r="U312" s="33"/>
    </row>
    <row r="313" spans="1:85">
      <c r="A313" s="23"/>
      <c r="B313" s="121"/>
      <c r="C313" s="2" t="s">
        <v>1318</v>
      </c>
      <c r="D313" s="34">
        <f>SUM(D311:D312)</f>
        <v>10</v>
      </c>
      <c r="E313" s="34">
        <f>SUM(E311:E312)</f>
        <v>0</v>
      </c>
      <c r="F313" s="34">
        <f>SUM(F311:F312)</f>
        <v>10</v>
      </c>
      <c r="G313" s="34"/>
      <c r="H313" s="34">
        <f>SUM(H311:H312)</f>
        <v>10</v>
      </c>
      <c r="I313" s="34"/>
      <c r="J313" s="34">
        <f>SUM(J311:J312)</f>
        <v>10</v>
      </c>
      <c r="K313" s="34"/>
      <c r="L313" s="34">
        <f>SUM(L311:L312)</f>
        <v>10</v>
      </c>
      <c r="M313" s="34">
        <f t="shared" ref="M313:S313" si="28">SUM(M309:M312)</f>
        <v>500</v>
      </c>
      <c r="N313" s="34">
        <f t="shared" si="28"/>
        <v>0</v>
      </c>
      <c r="O313" s="34">
        <f t="shared" si="28"/>
        <v>500</v>
      </c>
      <c r="P313" s="34">
        <f t="shared" si="28"/>
        <v>0</v>
      </c>
      <c r="Q313" s="34">
        <f t="shared" si="28"/>
        <v>500</v>
      </c>
      <c r="R313" s="34">
        <f t="shared" si="28"/>
        <v>0</v>
      </c>
      <c r="S313" s="34">
        <f t="shared" si="28"/>
        <v>500</v>
      </c>
      <c r="T313" s="34">
        <f>SUM(T309:T312)</f>
        <v>0</v>
      </c>
      <c r="U313" s="34">
        <f>SUM(U309:U312)</f>
        <v>500</v>
      </c>
    </row>
    <row r="314" spans="1:85">
      <c r="A314" s="23"/>
      <c r="B314" s="121"/>
      <c r="C314" s="67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</row>
    <row r="315" spans="1:85" s="192" customFormat="1" ht="17.25" customHeight="1">
      <c r="A315" s="189"/>
      <c r="B315" s="190" t="s">
        <v>48</v>
      </c>
      <c r="C315" s="193" t="s">
        <v>61</v>
      </c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33"/>
      <c r="S315" s="191"/>
      <c r="T315" s="191"/>
      <c r="U315" s="191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5"/>
      <c r="AZ315" s="215"/>
      <c r="BA315" s="215"/>
      <c r="BB315" s="215"/>
      <c r="BC315" s="215"/>
      <c r="BD315" s="215"/>
      <c r="BE315" s="215"/>
      <c r="BF315" s="215"/>
      <c r="BG315" s="215"/>
      <c r="BH315" s="215"/>
      <c r="BI315" s="215"/>
      <c r="BJ315" s="215"/>
      <c r="BK315" s="215"/>
      <c r="BL315" s="215"/>
      <c r="BM315" s="215"/>
      <c r="BN315" s="215"/>
      <c r="BO315" s="215"/>
      <c r="BP315" s="215"/>
      <c r="BQ315" s="215"/>
      <c r="BR315" s="215"/>
      <c r="BS315" s="215"/>
      <c r="BT315" s="215"/>
      <c r="BU315" s="215"/>
      <c r="BV315" s="215"/>
      <c r="BW315" s="215"/>
      <c r="BX315" s="215"/>
      <c r="BY315" s="215"/>
      <c r="BZ315" s="215"/>
      <c r="CA315" s="215"/>
      <c r="CB315" s="215"/>
      <c r="CC315" s="215"/>
      <c r="CD315" s="215"/>
      <c r="CE315" s="215"/>
      <c r="CF315" s="215"/>
      <c r="CG315" s="215"/>
    </row>
    <row r="316" spans="1:85">
      <c r="A316" s="23"/>
      <c r="B316" s="121"/>
      <c r="C316" s="4" t="s">
        <v>1280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</row>
    <row r="317" spans="1:85">
      <c r="A317" s="15" t="s">
        <v>1441</v>
      </c>
      <c r="B317" s="121"/>
      <c r="C317" s="2" t="s">
        <v>1292</v>
      </c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</row>
    <row r="318" spans="1:85">
      <c r="A318" s="23" t="s">
        <v>1433</v>
      </c>
      <c r="B318" s="121"/>
      <c r="C318" s="51" t="s">
        <v>1293</v>
      </c>
      <c r="D318" s="33">
        <v>1700</v>
      </c>
      <c r="E318" s="33"/>
      <c r="F318" s="33">
        <f>D318+E318</f>
        <v>1700</v>
      </c>
      <c r="G318" s="33"/>
      <c r="H318" s="33">
        <f>F318+G318</f>
        <v>1700</v>
      </c>
      <c r="I318" s="33"/>
      <c r="J318" s="33">
        <f>H318+I318</f>
        <v>1700</v>
      </c>
      <c r="K318" s="33"/>
      <c r="L318" s="33">
        <f>J318+K318</f>
        <v>1700</v>
      </c>
      <c r="M318" s="33"/>
      <c r="N318" s="33"/>
      <c r="O318" s="33"/>
      <c r="P318" s="33"/>
      <c r="Q318" s="33"/>
      <c r="R318" s="33"/>
      <c r="S318" s="33"/>
      <c r="T318" s="33"/>
      <c r="U318" s="33"/>
    </row>
    <row r="319" spans="1:85">
      <c r="A319" s="23" t="s">
        <v>1434</v>
      </c>
      <c r="B319" s="121"/>
      <c r="C319" s="58" t="s">
        <v>1435</v>
      </c>
      <c r="D319" s="33">
        <v>459</v>
      </c>
      <c r="E319" s="33"/>
      <c r="F319" s="33">
        <f>D319+E319</f>
        <v>459</v>
      </c>
      <c r="G319" s="33"/>
      <c r="H319" s="33">
        <f>F319+G319</f>
        <v>459</v>
      </c>
      <c r="I319" s="33"/>
      <c r="J319" s="33">
        <f>H319+I319</f>
        <v>459</v>
      </c>
      <c r="K319" s="33"/>
      <c r="L319" s="33">
        <f>J319+K319</f>
        <v>459</v>
      </c>
      <c r="M319" s="33"/>
      <c r="N319" s="33"/>
      <c r="O319" s="33"/>
      <c r="P319" s="33"/>
      <c r="Q319" s="33"/>
      <c r="R319" s="33"/>
      <c r="S319" s="33"/>
      <c r="T319" s="33"/>
      <c r="U319" s="33"/>
    </row>
    <row r="320" spans="1:85">
      <c r="A320" s="23" t="s">
        <v>1454</v>
      </c>
      <c r="B320" s="121"/>
      <c r="C320" s="51" t="s">
        <v>1294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</row>
    <row r="321" spans="1:85">
      <c r="A321" s="23"/>
      <c r="B321" s="121"/>
      <c r="C321" s="4" t="s">
        <v>1303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</row>
    <row r="322" spans="1:85">
      <c r="A322" s="15" t="s">
        <v>1442</v>
      </c>
      <c r="B322" s="121"/>
      <c r="C322" s="2" t="s">
        <v>1304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</row>
    <row r="323" spans="1:85" ht="19.5">
      <c r="A323" s="23" t="s">
        <v>1587</v>
      </c>
      <c r="B323" s="121"/>
      <c r="C323" s="60" t="s">
        <v>1588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</row>
    <row r="324" spans="1:85">
      <c r="A324" s="23"/>
      <c r="B324" s="121"/>
      <c r="C324" s="56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</row>
    <row r="325" spans="1:85">
      <c r="A325" s="15" t="s">
        <v>1441</v>
      </c>
      <c r="B325" s="121"/>
      <c r="C325" s="2" t="s">
        <v>1307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</row>
    <row r="326" spans="1:85">
      <c r="A326" s="23" t="s">
        <v>1562</v>
      </c>
      <c r="B326" s="121"/>
      <c r="C326" s="52" t="s">
        <v>1308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</row>
    <row r="327" spans="1:85">
      <c r="A327" s="23" t="s">
        <v>1590</v>
      </c>
      <c r="B327" s="121"/>
      <c r="C327" s="52" t="s">
        <v>1310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</row>
    <row r="328" spans="1:85" ht="22.5">
      <c r="A328" s="15" t="s">
        <v>1442</v>
      </c>
      <c r="B328" s="121"/>
      <c r="C328" s="94" t="s">
        <v>1553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</row>
    <row r="329" spans="1:85" ht="19.5">
      <c r="A329" s="23" t="s">
        <v>1552</v>
      </c>
      <c r="B329" s="121"/>
      <c r="C329" s="60" t="s">
        <v>90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>
        <v>2159</v>
      </c>
      <c r="N329" s="33"/>
      <c r="O329" s="33">
        <f>M329+N329</f>
        <v>2159</v>
      </c>
      <c r="P329" s="33"/>
      <c r="Q329" s="33">
        <f>O329+P329</f>
        <v>2159</v>
      </c>
      <c r="R329" s="33"/>
      <c r="S329" s="33">
        <f>Q329+R329</f>
        <v>2159</v>
      </c>
      <c r="T329" s="33"/>
      <c r="U329" s="33">
        <f>S329+T329</f>
        <v>2159</v>
      </c>
    </row>
    <row r="330" spans="1:85">
      <c r="A330" s="23"/>
      <c r="B330" s="121"/>
      <c r="C330" s="2" t="s">
        <v>1318</v>
      </c>
      <c r="D330" s="34">
        <f t="shared" ref="D330:P330" si="29">SUM(D318:D329)</f>
        <v>2159</v>
      </c>
      <c r="E330" s="34">
        <f t="shared" si="29"/>
        <v>0</v>
      </c>
      <c r="F330" s="34">
        <f t="shared" si="29"/>
        <v>2159</v>
      </c>
      <c r="G330" s="34"/>
      <c r="H330" s="34">
        <f>SUM(H318:H329)</f>
        <v>2159</v>
      </c>
      <c r="I330" s="34"/>
      <c r="J330" s="34">
        <f>SUM(J318:J329)</f>
        <v>2159</v>
      </c>
      <c r="K330" s="34"/>
      <c r="L330" s="34">
        <f>SUM(L318:L329)</f>
        <v>2159</v>
      </c>
      <c r="M330" s="34">
        <f t="shared" si="29"/>
        <v>2159</v>
      </c>
      <c r="N330" s="34">
        <f t="shared" si="29"/>
        <v>0</v>
      </c>
      <c r="O330" s="34">
        <f t="shared" si="29"/>
        <v>2159</v>
      </c>
      <c r="P330" s="34">
        <f t="shared" si="29"/>
        <v>0</v>
      </c>
      <c r="Q330" s="34">
        <f>SUM(Q318:Q329)</f>
        <v>2159</v>
      </c>
      <c r="R330" s="34">
        <f>SUM(R318:R329)</f>
        <v>0</v>
      </c>
      <c r="S330" s="34">
        <f>SUM(S318:S329)</f>
        <v>2159</v>
      </c>
      <c r="T330" s="34">
        <f>SUM(T318:T329)</f>
        <v>0</v>
      </c>
      <c r="U330" s="34">
        <f>SUM(U318:U329)</f>
        <v>2159</v>
      </c>
    </row>
    <row r="331" spans="1:85">
      <c r="A331" s="23"/>
      <c r="B331" s="121"/>
      <c r="C331" s="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</row>
    <row r="332" spans="1:85" s="192" customFormat="1" ht="29.25" customHeight="1">
      <c r="A332" s="189"/>
      <c r="B332" s="190" t="s">
        <v>49</v>
      </c>
      <c r="C332" s="288" t="s">
        <v>50</v>
      </c>
      <c r="D332" s="289"/>
      <c r="E332" s="289"/>
      <c r="F332" s="289"/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289"/>
      <c r="S332" s="289"/>
      <c r="T332" s="289"/>
      <c r="U332" s="290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  <c r="AU332" s="215"/>
      <c r="AV332" s="215"/>
      <c r="AW332" s="215"/>
      <c r="AX332" s="215"/>
      <c r="AY332" s="215"/>
      <c r="AZ332" s="215"/>
      <c r="BA332" s="215"/>
      <c r="BB332" s="215"/>
      <c r="BC332" s="215"/>
      <c r="BD332" s="215"/>
      <c r="BE332" s="215"/>
      <c r="BF332" s="215"/>
      <c r="BG332" s="215"/>
      <c r="BH332" s="215"/>
      <c r="BI332" s="215"/>
      <c r="BJ332" s="215"/>
      <c r="BK332" s="215"/>
      <c r="BL332" s="215"/>
      <c r="BM332" s="215"/>
      <c r="BN332" s="215"/>
      <c r="BO332" s="215"/>
      <c r="BP332" s="215"/>
      <c r="BQ332" s="215"/>
      <c r="BR332" s="215"/>
      <c r="BS332" s="215"/>
      <c r="BT332" s="215"/>
      <c r="BU332" s="215"/>
      <c r="BV332" s="215"/>
      <c r="BW332" s="215"/>
      <c r="BX332" s="215"/>
      <c r="BY332" s="215"/>
      <c r="BZ332" s="215"/>
      <c r="CA332" s="215"/>
      <c r="CB332" s="215"/>
      <c r="CC332" s="215"/>
      <c r="CD332" s="215"/>
      <c r="CE332" s="215"/>
      <c r="CF332" s="215"/>
      <c r="CG332" s="215"/>
    </row>
    <row r="333" spans="1:85">
      <c r="A333" s="23"/>
      <c r="B333" s="121"/>
      <c r="C333" s="4" t="s">
        <v>1280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</row>
    <row r="334" spans="1:85">
      <c r="A334" s="15" t="s">
        <v>1441</v>
      </c>
      <c r="B334" s="121"/>
      <c r="C334" s="2" t="s">
        <v>1292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</row>
    <row r="335" spans="1:85">
      <c r="A335" s="23" t="s">
        <v>1433</v>
      </c>
      <c r="B335" s="121"/>
      <c r="C335" s="51" t="s">
        <v>1293</v>
      </c>
      <c r="D335" s="33">
        <v>2266</v>
      </c>
      <c r="E335" s="33"/>
      <c r="F335" s="33">
        <f>D335+E335</f>
        <v>2266</v>
      </c>
      <c r="G335" s="33"/>
      <c r="H335" s="33">
        <f>F335+G335</f>
        <v>2266</v>
      </c>
      <c r="I335" s="33"/>
      <c r="J335" s="33">
        <f>H335+I335</f>
        <v>2266</v>
      </c>
      <c r="K335" s="33"/>
      <c r="L335" s="33">
        <f>J335+K335</f>
        <v>2266</v>
      </c>
      <c r="M335" s="33"/>
      <c r="N335" s="33"/>
      <c r="O335" s="33"/>
      <c r="P335" s="33"/>
      <c r="Q335" s="33"/>
      <c r="R335" s="33"/>
      <c r="S335" s="33"/>
      <c r="T335" s="33"/>
      <c r="U335" s="33"/>
    </row>
    <row r="336" spans="1:85">
      <c r="A336" s="23" t="s">
        <v>1434</v>
      </c>
      <c r="B336" s="121"/>
      <c r="C336" s="58" t="s">
        <v>1435</v>
      </c>
      <c r="D336" s="33">
        <v>611</v>
      </c>
      <c r="E336" s="33"/>
      <c r="F336" s="33">
        <f>D336+E336</f>
        <v>611</v>
      </c>
      <c r="G336" s="33"/>
      <c r="H336" s="33">
        <f>F336+G336</f>
        <v>611</v>
      </c>
      <c r="I336" s="33"/>
      <c r="J336" s="33">
        <f>H336+I336</f>
        <v>611</v>
      </c>
      <c r="K336" s="33"/>
      <c r="L336" s="33">
        <f>J336+K336</f>
        <v>611</v>
      </c>
      <c r="M336" s="33"/>
      <c r="N336" s="33"/>
      <c r="O336" s="33"/>
      <c r="P336" s="33"/>
      <c r="Q336" s="33"/>
      <c r="R336" s="33"/>
      <c r="S336" s="33"/>
      <c r="T336" s="33"/>
      <c r="U336" s="33"/>
    </row>
    <row r="337" spans="1:85">
      <c r="A337" s="23" t="s">
        <v>1454</v>
      </c>
      <c r="B337" s="121"/>
      <c r="C337" s="51" t="s">
        <v>1294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</row>
    <row r="338" spans="1:85">
      <c r="A338" s="23"/>
      <c r="B338" s="121"/>
      <c r="C338" s="4" t="s">
        <v>1303</v>
      </c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</row>
    <row r="339" spans="1:85">
      <c r="A339" s="15" t="s">
        <v>1442</v>
      </c>
      <c r="B339" s="121"/>
      <c r="C339" s="2" t="s">
        <v>1304</v>
      </c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</row>
    <row r="340" spans="1:85" ht="19.5">
      <c r="A340" s="23" t="s">
        <v>1587</v>
      </c>
      <c r="B340" s="121"/>
      <c r="C340" s="60" t="s">
        <v>91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>
        <v>36274</v>
      </c>
      <c r="N340" s="33"/>
      <c r="O340" s="33">
        <f>M340+N340</f>
        <v>36274</v>
      </c>
      <c r="P340" s="33"/>
      <c r="Q340" s="33">
        <f>O340+P340</f>
        <v>36274</v>
      </c>
      <c r="R340" s="33"/>
      <c r="S340" s="33">
        <f>Q340+R340</f>
        <v>36274</v>
      </c>
      <c r="T340" s="33"/>
      <c r="U340" s="33">
        <f>S340+T340</f>
        <v>36274</v>
      </c>
    </row>
    <row r="341" spans="1:85">
      <c r="A341" s="15" t="s">
        <v>1441</v>
      </c>
      <c r="B341" s="121"/>
      <c r="C341" s="2" t="s">
        <v>1307</v>
      </c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</row>
    <row r="342" spans="1:85">
      <c r="A342" s="23" t="s">
        <v>1561</v>
      </c>
      <c r="B342" s="121"/>
      <c r="C342" s="52" t="s">
        <v>1307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>
        <f t="shared" ref="O342:U342" si="30">M342+N342</f>
        <v>0</v>
      </c>
      <c r="P342" s="33">
        <f t="shared" si="30"/>
        <v>0</v>
      </c>
      <c r="Q342" s="33">
        <f t="shared" si="30"/>
        <v>0</v>
      </c>
      <c r="R342" s="33">
        <f t="shared" si="30"/>
        <v>0</v>
      </c>
      <c r="S342" s="33">
        <f t="shared" si="30"/>
        <v>0</v>
      </c>
      <c r="T342" s="33">
        <f t="shared" si="30"/>
        <v>0</v>
      </c>
      <c r="U342" s="33">
        <f t="shared" si="30"/>
        <v>0</v>
      </c>
    </row>
    <row r="343" spans="1:85">
      <c r="A343" s="23"/>
      <c r="B343" s="121"/>
      <c r="C343" s="2" t="s">
        <v>1318</v>
      </c>
      <c r="D343" s="34">
        <f t="shared" ref="D343:P343" si="31">SUM(D335:D342)</f>
        <v>2877</v>
      </c>
      <c r="E343" s="34">
        <f t="shared" si="31"/>
        <v>0</v>
      </c>
      <c r="F343" s="34">
        <f t="shared" si="31"/>
        <v>2877</v>
      </c>
      <c r="G343" s="34"/>
      <c r="H343" s="34">
        <f>SUM(H335:H342)</f>
        <v>2877</v>
      </c>
      <c r="I343" s="34"/>
      <c r="J343" s="34">
        <f>SUM(J335:J342)</f>
        <v>2877</v>
      </c>
      <c r="K343" s="34"/>
      <c r="L343" s="34">
        <f>SUM(L335:L342)</f>
        <v>2877</v>
      </c>
      <c r="M343" s="34">
        <f t="shared" si="31"/>
        <v>36274</v>
      </c>
      <c r="N343" s="34">
        <f t="shared" si="31"/>
        <v>0</v>
      </c>
      <c r="O343" s="34">
        <f t="shared" si="31"/>
        <v>36274</v>
      </c>
      <c r="P343" s="34">
        <f t="shared" si="31"/>
        <v>0</v>
      </c>
      <c r="Q343" s="34">
        <f>SUM(Q335:Q342)</f>
        <v>36274</v>
      </c>
      <c r="R343" s="34">
        <f>SUM(R335:R342)</f>
        <v>0</v>
      </c>
      <c r="S343" s="34">
        <f>SUM(S335:S342)</f>
        <v>36274</v>
      </c>
      <c r="T343" s="34">
        <f>SUM(T335:T342)</f>
        <v>0</v>
      </c>
      <c r="U343" s="34">
        <f>SUM(U335:U342)</f>
        <v>36274</v>
      </c>
    </row>
    <row r="344" spans="1:85">
      <c r="A344" s="23"/>
      <c r="B344" s="121"/>
      <c r="C344" s="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</row>
    <row r="345" spans="1:85" s="192" customFormat="1" ht="17.25" customHeight="1">
      <c r="A345" s="189"/>
      <c r="B345" s="190" t="s">
        <v>51</v>
      </c>
      <c r="C345" s="193" t="s">
        <v>52</v>
      </c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33"/>
      <c r="S345" s="191"/>
      <c r="T345" s="191"/>
      <c r="U345" s="191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5"/>
      <c r="AZ345" s="215"/>
      <c r="BA345" s="215"/>
      <c r="BB345" s="215"/>
      <c r="BC345" s="215"/>
      <c r="BD345" s="215"/>
      <c r="BE345" s="215"/>
      <c r="BF345" s="215"/>
      <c r="BG345" s="215"/>
      <c r="BH345" s="215"/>
      <c r="BI345" s="215"/>
      <c r="BJ345" s="215"/>
      <c r="BK345" s="215"/>
      <c r="BL345" s="215"/>
      <c r="BM345" s="215"/>
      <c r="BN345" s="215"/>
      <c r="BO345" s="215"/>
      <c r="BP345" s="215"/>
      <c r="BQ345" s="215"/>
      <c r="BR345" s="215"/>
      <c r="BS345" s="215"/>
      <c r="BT345" s="215"/>
      <c r="BU345" s="215"/>
      <c r="BV345" s="215"/>
      <c r="BW345" s="215"/>
      <c r="BX345" s="215"/>
      <c r="BY345" s="215"/>
      <c r="BZ345" s="215"/>
      <c r="CA345" s="215"/>
      <c r="CB345" s="215"/>
      <c r="CC345" s="215"/>
      <c r="CD345" s="215"/>
      <c r="CE345" s="215"/>
      <c r="CF345" s="215"/>
      <c r="CG345" s="215"/>
    </row>
    <row r="346" spans="1:85">
      <c r="A346" s="23"/>
      <c r="B346" s="121"/>
      <c r="C346" s="4" t="s">
        <v>1280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</row>
    <row r="347" spans="1:85">
      <c r="A347" s="15" t="s">
        <v>1442</v>
      </c>
      <c r="B347" s="121"/>
      <c r="C347" s="2" t="s">
        <v>1281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</row>
    <row r="348" spans="1:85">
      <c r="A348" s="23" t="s">
        <v>1439</v>
      </c>
      <c r="B348" s="121"/>
      <c r="C348" s="69" t="s">
        <v>1281</v>
      </c>
      <c r="D348" s="33"/>
      <c r="E348" s="33"/>
      <c r="F348" s="33"/>
      <c r="G348" s="33"/>
      <c r="H348" s="33"/>
      <c r="I348" s="33"/>
      <c r="J348" s="33"/>
      <c r="K348" s="33"/>
      <c r="L348" s="33"/>
      <c r="M348" s="33">
        <v>2997</v>
      </c>
      <c r="N348" s="33"/>
      <c r="O348" s="33">
        <f>M348+N348</f>
        <v>2997</v>
      </c>
      <c r="P348" s="33"/>
      <c r="Q348" s="33">
        <f>O348+P348</f>
        <v>2997</v>
      </c>
      <c r="R348" s="33"/>
      <c r="S348" s="33">
        <f>Q348+R348</f>
        <v>2997</v>
      </c>
      <c r="T348" s="33">
        <v>-2997</v>
      </c>
      <c r="U348" s="33">
        <f>S348+T348</f>
        <v>0</v>
      </c>
    </row>
    <row r="349" spans="1:85">
      <c r="A349" s="15" t="s">
        <v>1441</v>
      </c>
      <c r="B349" s="121"/>
      <c r="C349" s="2" t="s">
        <v>1292</v>
      </c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</row>
    <row r="350" spans="1:85">
      <c r="A350" s="23" t="s">
        <v>1433</v>
      </c>
      <c r="B350" s="121"/>
      <c r="C350" s="51" t="s">
        <v>1293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</row>
    <row r="351" spans="1:85">
      <c r="A351" s="23" t="s">
        <v>1434</v>
      </c>
      <c r="B351" s="121"/>
      <c r="C351" s="58" t="s">
        <v>1435</v>
      </c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</row>
    <row r="352" spans="1:85">
      <c r="A352" s="23" t="s">
        <v>1454</v>
      </c>
      <c r="B352" s="121"/>
      <c r="C352" s="51" t="s">
        <v>1294</v>
      </c>
      <c r="D352" s="33"/>
      <c r="E352" s="33">
        <v>960</v>
      </c>
      <c r="F352" s="33">
        <f>SUM(D352:E352)</f>
        <v>960</v>
      </c>
      <c r="G352" s="33"/>
      <c r="H352" s="33">
        <f>SUM(F352:G352)</f>
        <v>960</v>
      </c>
      <c r="I352" s="33"/>
      <c r="J352" s="33">
        <f>SUM(H352:I352)</f>
        <v>960</v>
      </c>
      <c r="K352" s="33"/>
      <c r="L352" s="33">
        <f>SUM(J352:K352)</f>
        <v>960</v>
      </c>
      <c r="M352" s="33"/>
      <c r="N352" s="33"/>
      <c r="O352" s="33"/>
      <c r="P352" s="33"/>
      <c r="Q352" s="33"/>
      <c r="R352" s="33"/>
      <c r="S352" s="33"/>
      <c r="T352" s="33"/>
      <c r="U352" s="33"/>
    </row>
    <row r="353" spans="1:85">
      <c r="A353" s="23" t="s">
        <v>1666</v>
      </c>
      <c r="B353" s="121"/>
      <c r="C353" s="58" t="s">
        <v>1555</v>
      </c>
      <c r="D353" s="33"/>
      <c r="E353" s="33">
        <f>ROUND(180*127%,0)</f>
        <v>229</v>
      </c>
      <c r="F353" s="33">
        <f>SUM(D353:E353)</f>
        <v>229</v>
      </c>
      <c r="G353" s="33"/>
      <c r="H353" s="33">
        <f>SUM(F353:G353)</f>
        <v>229</v>
      </c>
      <c r="I353" s="33"/>
      <c r="J353" s="33">
        <f>SUM(H353:I353)</f>
        <v>229</v>
      </c>
      <c r="K353" s="33"/>
      <c r="L353" s="33">
        <f>SUM(J353:K353)</f>
        <v>229</v>
      </c>
      <c r="M353" s="33"/>
      <c r="N353" s="33"/>
      <c r="O353" s="33"/>
      <c r="P353" s="33"/>
      <c r="Q353" s="33"/>
      <c r="R353" s="33"/>
      <c r="S353" s="33"/>
      <c r="T353" s="33"/>
      <c r="U353" s="33"/>
    </row>
    <row r="354" spans="1:85">
      <c r="A354" s="23"/>
      <c r="B354" s="121"/>
      <c r="C354" s="4" t="s">
        <v>1303</v>
      </c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</row>
    <row r="355" spans="1:85">
      <c r="A355" s="15" t="s">
        <v>1442</v>
      </c>
      <c r="B355" s="121"/>
      <c r="C355" s="2" t="s">
        <v>1304</v>
      </c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</row>
    <row r="356" spans="1:85">
      <c r="A356" s="23" t="s">
        <v>1591</v>
      </c>
      <c r="B356" s="121"/>
      <c r="C356" s="59" t="s">
        <v>1418</v>
      </c>
      <c r="D356" s="33"/>
      <c r="E356" s="33"/>
      <c r="F356" s="33"/>
      <c r="G356" s="33"/>
      <c r="H356" s="33"/>
      <c r="I356" s="33"/>
      <c r="J356" s="33"/>
      <c r="K356" s="33"/>
      <c r="L356" s="33"/>
      <c r="M356" s="33">
        <v>3463</v>
      </c>
      <c r="N356" s="33"/>
      <c r="O356" s="33">
        <f>M356+N356</f>
        <v>3463</v>
      </c>
      <c r="P356" s="33"/>
      <c r="Q356" s="33">
        <f>O356+P356</f>
        <v>3463</v>
      </c>
      <c r="R356" s="33"/>
      <c r="S356" s="33">
        <f>Q356+R356</f>
        <v>3463</v>
      </c>
      <c r="T356" s="33"/>
      <c r="U356" s="33">
        <f>S356+T356</f>
        <v>3463</v>
      </c>
    </row>
    <row r="357" spans="1:85">
      <c r="A357" s="15" t="s">
        <v>1441</v>
      </c>
      <c r="B357" s="121"/>
      <c r="C357" s="2" t="s">
        <v>1307</v>
      </c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</row>
    <row r="358" spans="1:85" s="215" customFormat="1">
      <c r="A358" s="217" t="s">
        <v>1592</v>
      </c>
      <c r="B358" s="218"/>
      <c r="C358" s="262" t="s">
        <v>1418</v>
      </c>
      <c r="D358" s="33">
        <v>3463</v>
      </c>
      <c r="E358" s="33"/>
      <c r="F358" s="33">
        <f>D358+E358</f>
        <v>3463</v>
      </c>
      <c r="G358" s="33"/>
      <c r="H358" s="33">
        <f>F358+G358</f>
        <v>3463</v>
      </c>
      <c r="I358" s="33">
        <v>-864</v>
      </c>
      <c r="J358" s="33">
        <f>H358+I358</f>
        <v>2599</v>
      </c>
      <c r="K358" s="33">
        <v>864</v>
      </c>
      <c r="L358" s="33">
        <f>J358+K358</f>
        <v>3463</v>
      </c>
      <c r="M358" s="33"/>
      <c r="N358" s="33"/>
      <c r="O358" s="33"/>
      <c r="P358" s="33"/>
      <c r="Q358" s="33"/>
      <c r="R358" s="33"/>
      <c r="S358" s="33"/>
      <c r="T358" s="33"/>
      <c r="U358" s="33"/>
    </row>
    <row r="359" spans="1:85" ht="19.5">
      <c r="A359" s="23" t="s">
        <v>1561</v>
      </c>
      <c r="B359" s="121"/>
      <c r="C359" s="54" t="s">
        <v>75</v>
      </c>
      <c r="D359" s="33">
        <v>2413</v>
      </c>
      <c r="E359" s="33"/>
      <c r="F359" s="33">
        <f>D359+E359</f>
        <v>2413</v>
      </c>
      <c r="G359" s="33"/>
      <c r="H359" s="33">
        <f>F359+G359</f>
        <v>2413</v>
      </c>
      <c r="I359" s="33">
        <v>-917</v>
      </c>
      <c r="J359" s="33">
        <f>H359+I359</f>
        <v>1496</v>
      </c>
      <c r="K359" s="33">
        <v>1</v>
      </c>
      <c r="L359" s="33">
        <f>J359+K359</f>
        <v>1497</v>
      </c>
      <c r="M359" s="33"/>
      <c r="N359" s="33"/>
      <c r="O359" s="33"/>
      <c r="P359" s="33"/>
      <c r="Q359" s="33"/>
      <c r="R359" s="33"/>
      <c r="S359" s="33"/>
      <c r="T359" s="33"/>
      <c r="U359" s="33"/>
    </row>
    <row r="360" spans="1:85">
      <c r="A360" s="23"/>
      <c r="B360" s="121"/>
      <c r="C360" s="2" t="s">
        <v>1318</v>
      </c>
      <c r="D360" s="34">
        <f t="shared" ref="D360:P360" si="32">SUM(D346:D359)</f>
        <v>5876</v>
      </c>
      <c r="E360" s="34">
        <f t="shared" si="32"/>
        <v>1189</v>
      </c>
      <c r="F360" s="34">
        <f t="shared" si="32"/>
        <v>7065</v>
      </c>
      <c r="G360" s="34"/>
      <c r="H360" s="34">
        <f>SUM(H346:H359)</f>
        <v>7065</v>
      </c>
      <c r="I360" s="34">
        <f>SUM(I346:I359)</f>
        <v>-1781</v>
      </c>
      <c r="J360" s="34">
        <f>SUM(J346:J359)</f>
        <v>5284</v>
      </c>
      <c r="K360" s="34">
        <f>SUM(K346:K359)</f>
        <v>865</v>
      </c>
      <c r="L360" s="34">
        <f>SUM(L346:L359)</f>
        <v>6149</v>
      </c>
      <c r="M360" s="34">
        <f t="shared" si="32"/>
        <v>6460</v>
      </c>
      <c r="N360" s="34">
        <f t="shared" si="32"/>
        <v>0</v>
      </c>
      <c r="O360" s="34">
        <f t="shared" si="32"/>
        <v>6460</v>
      </c>
      <c r="P360" s="34">
        <f t="shared" si="32"/>
        <v>0</v>
      </c>
      <c r="Q360" s="34">
        <f>SUM(Q346:Q359)</f>
        <v>6460</v>
      </c>
      <c r="R360" s="34">
        <f>SUM(R346:R359)</f>
        <v>0</v>
      </c>
      <c r="S360" s="34">
        <f>SUM(S346:S359)</f>
        <v>6460</v>
      </c>
      <c r="T360" s="34">
        <f>SUM(T346:T359)</f>
        <v>-2997</v>
      </c>
      <c r="U360" s="34">
        <f>SUM(U346:U359)</f>
        <v>3463</v>
      </c>
    </row>
    <row r="361" spans="1:85">
      <c r="A361" s="23"/>
      <c r="B361" s="121"/>
      <c r="C361" s="2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</row>
    <row r="362" spans="1:85" s="192" customFormat="1" ht="17.25" customHeight="1">
      <c r="A362" s="189"/>
      <c r="B362" s="190" t="s">
        <v>53</v>
      </c>
      <c r="C362" s="193" t="s">
        <v>54</v>
      </c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33"/>
      <c r="S362" s="191"/>
      <c r="T362" s="191"/>
      <c r="U362" s="191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5"/>
      <c r="AM362" s="215"/>
      <c r="AN362" s="215"/>
      <c r="AO362" s="215"/>
      <c r="AP362" s="215"/>
      <c r="AQ362" s="215"/>
      <c r="AR362" s="215"/>
      <c r="AS362" s="215"/>
      <c r="AT362" s="215"/>
      <c r="AU362" s="215"/>
      <c r="AV362" s="215"/>
      <c r="AW362" s="215"/>
      <c r="AX362" s="215"/>
      <c r="AY362" s="215"/>
      <c r="AZ362" s="215"/>
      <c r="BA362" s="215"/>
      <c r="BB362" s="215"/>
      <c r="BC362" s="215"/>
      <c r="BD362" s="215"/>
      <c r="BE362" s="215"/>
      <c r="BF362" s="215"/>
      <c r="BG362" s="215"/>
      <c r="BH362" s="215"/>
      <c r="BI362" s="215"/>
      <c r="BJ362" s="215"/>
      <c r="BK362" s="215"/>
      <c r="BL362" s="215"/>
      <c r="BM362" s="215"/>
      <c r="BN362" s="215"/>
      <c r="BO362" s="215"/>
      <c r="BP362" s="215"/>
      <c r="BQ362" s="215"/>
      <c r="BR362" s="215"/>
      <c r="BS362" s="215"/>
      <c r="BT362" s="215"/>
      <c r="BU362" s="215"/>
      <c r="BV362" s="215"/>
      <c r="BW362" s="215"/>
      <c r="BX362" s="215"/>
      <c r="BY362" s="215"/>
      <c r="BZ362" s="215"/>
      <c r="CA362" s="215"/>
      <c r="CB362" s="215"/>
      <c r="CC362" s="215"/>
      <c r="CD362" s="215"/>
      <c r="CE362" s="215"/>
      <c r="CF362" s="215"/>
      <c r="CG362" s="215"/>
    </row>
    <row r="363" spans="1:85">
      <c r="A363" s="23"/>
      <c r="B363" s="121"/>
      <c r="C363" s="4" t="s">
        <v>1280</v>
      </c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</row>
    <row r="364" spans="1:85" s="215" customFormat="1">
      <c r="A364" s="263" t="s">
        <v>1442</v>
      </c>
      <c r="B364" s="218"/>
      <c r="C364" s="219" t="s">
        <v>1281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</row>
    <row r="365" spans="1:85" s="215" customFormat="1">
      <c r="A365" s="217" t="s">
        <v>1439</v>
      </c>
      <c r="B365" s="218"/>
      <c r="C365" s="254" t="s">
        <v>1281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>
        <v>5000</v>
      </c>
      <c r="N365" s="33"/>
      <c r="O365" s="33">
        <f>M365+N365</f>
        <v>5000</v>
      </c>
      <c r="P365" s="33"/>
      <c r="Q365" s="33">
        <f>O365+P365</f>
        <v>5000</v>
      </c>
      <c r="R365" s="33"/>
      <c r="S365" s="33">
        <f>Q365+R365</f>
        <v>5000</v>
      </c>
      <c r="T365" s="33">
        <v>-3303</v>
      </c>
      <c r="U365" s="33">
        <f>S365+T365</f>
        <v>1697</v>
      </c>
      <c r="V365" s="216"/>
    </row>
    <row r="366" spans="1:85">
      <c r="A366" s="15" t="s">
        <v>1441</v>
      </c>
      <c r="B366" s="121"/>
      <c r="C366" s="2" t="s">
        <v>1292</v>
      </c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</row>
    <row r="367" spans="1:85" s="215" customFormat="1">
      <c r="A367" s="217" t="s">
        <v>1454</v>
      </c>
      <c r="B367" s="218"/>
      <c r="C367" s="255" t="s">
        <v>1294</v>
      </c>
      <c r="D367" s="33"/>
      <c r="E367" s="33"/>
      <c r="F367" s="33"/>
      <c r="G367" s="33"/>
      <c r="H367" s="33"/>
      <c r="I367" s="33"/>
      <c r="J367" s="33"/>
      <c r="K367" s="33"/>
      <c r="L367" s="33">
        <f>SUM(J367:K367)</f>
        <v>0</v>
      </c>
      <c r="M367" s="33"/>
      <c r="N367" s="33"/>
      <c r="O367" s="33"/>
      <c r="P367" s="33"/>
      <c r="Q367" s="33"/>
      <c r="R367" s="33"/>
      <c r="S367" s="33"/>
      <c r="T367" s="33"/>
      <c r="U367" s="33"/>
    </row>
    <row r="368" spans="1:85">
      <c r="A368" s="23" t="s">
        <v>1436</v>
      </c>
      <c r="B368" s="121"/>
      <c r="C368" s="58" t="s">
        <v>1437</v>
      </c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</row>
    <row r="369" spans="1:85">
      <c r="A369" s="23"/>
      <c r="B369" s="121"/>
      <c r="C369" s="2" t="s">
        <v>1318</v>
      </c>
      <c r="D369" s="34">
        <f t="shared" ref="D369:P369" si="33">SUM(D365:D368)</f>
        <v>0</v>
      </c>
      <c r="E369" s="34">
        <f t="shared" si="33"/>
        <v>0</v>
      </c>
      <c r="F369" s="34">
        <f t="shared" si="33"/>
        <v>0</v>
      </c>
      <c r="G369" s="34"/>
      <c r="H369" s="34">
        <f>SUM(H365:H368)</f>
        <v>0</v>
      </c>
      <c r="I369" s="34"/>
      <c r="J369" s="34">
        <f>SUM(J365:J368)</f>
        <v>0</v>
      </c>
      <c r="K369" s="34"/>
      <c r="L369" s="34">
        <f>SUM(L365:L368)</f>
        <v>0</v>
      </c>
      <c r="M369" s="34">
        <f t="shared" si="33"/>
        <v>5000</v>
      </c>
      <c r="N369" s="34">
        <f t="shared" si="33"/>
        <v>0</v>
      </c>
      <c r="O369" s="34">
        <f t="shared" si="33"/>
        <v>5000</v>
      </c>
      <c r="P369" s="34">
        <f t="shared" si="33"/>
        <v>0</v>
      </c>
      <c r="Q369" s="34">
        <f>SUM(Q365:Q368)</f>
        <v>5000</v>
      </c>
      <c r="R369" s="34">
        <f>SUM(R365:R368)</f>
        <v>0</v>
      </c>
      <c r="S369" s="34">
        <f>SUM(S365:S368)</f>
        <v>5000</v>
      </c>
      <c r="T369" s="34">
        <f>SUM(T365:T368)</f>
        <v>-3303</v>
      </c>
      <c r="U369" s="34">
        <f>SUM(U365:U368)</f>
        <v>1697</v>
      </c>
    </row>
    <row r="370" spans="1:85" s="224" customFormat="1">
      <c r="A370" s="220"/>
      <c r="B370" s="221"/>
      <c r="C370" s="222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</row>
    <row r="371" spans="1:85" s="224" customFormat="1" ht="15">
      <c r="A371" s="225" t="s">
        <v>1665</v>
      </c>
      <c r="B371" s="221"/>
      <c r="C371" s="222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</row>
    <row r="372" spans="1:85" s="215" customFormat="1">
      <c r="A372" s="217"/>
      <c r="B372" s="218"/>
      <c r="C372" s="219" t="s">
        <v>1323</v>
      </c>
      <c r="D372" s="34">
        <f>SUM(D13+D20+D39+D57+D75+D82+D106+D166+D173+D180+D190+D208+D217+D224+D230+D236+D242+D248+D254+D260+D266+D272+D287+D303+D313+D330+D343+D360+D369)</f>
        <v>300111</v>
      </c>
      <c r="E372" s="34">
        <f>SUM(E13+E20+E39+E57+E75+E82+E106+E166+E173+E180+E190+E208+E217+E224+E230+E236+E242+E248+E254+E260+E266+E272+E287+E303+E313+E330+E343+E360+E369)</f>
        <v>17855</v>
      </c>
      <c r="F372" s="34">
        <f>SUM(F13+F20+F39+F57+F75+F82+F106+F166+F173+F180+F190+F208+F217+F224+F230+F236+F242+F248+F254+F260+F266+F272+F287+F303+F313+F330+F343+F360+F369)</f>
        <v>317966</v>
      </c>
      <c r="G372" s="34"/>
      <c r="H372" s="34">
        <f>SUM(H13+H20+H39+H57+H75+H82+H106+H166+H173+H180+H190+H208+H217+H224+H230+H236+H242+H248+H254+H260+H266+H272+H287+H303+H313+H330+H343+H360+H369)</f>
        <v>318329</v>
      </c>
      <c r="I372" s="34"/>
      <c r="J372" s="34">
        <f>SUM(J13+J20+J39+J57+J75+J82+J106+J166+J173+J180+J190+J208+J217+J224+J230+J236+J242+J248+J254+J260+J266+J272+J287+J303+J313+J330+J343+J360+J369)</f>
        <v>322862</v>
      </c>
      <c r="K372" s="34">
        <f>SUM(K13+K20+K39+K57+K75+K82+K106+K166+K173+K180+K190+K208+K217+K224+K230+K236+K242+K248+K254+K260+K266+K272+K287+K303+K313+K330+K343+K360+K369)</f>
        <v>4795</v>
      </c>
      <c r="L372" s="34">
        <f>SUM(L13+L20+L39+L57+L75+L82+L106+L166+L173+L180+L190+L208+L217+L224+L230+L236+L242+L248+L254+L260+L266+L272+L287+L303+L313+L330+L343+L360+L369)</f>
        <v>327657</v>
      </c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85" s="215" customFormat="1">
      <c r="A373" s="217"/>
      <c r="B373" s="218"/>
      <c r="C373" s="219" t="s">
        <v>1324</v>
      </c>
      <c r="D373" s="34"/>
      <c r="E373" s="34"/>
      <c r="F373" s="34"/>
      <c r="G373" s="34"/>
      <c r="H373" s="34"/>
      <c r="I373" s="34"/>
      <c r="J373" s="34"/>
      <c r="K373" s="34"/>
      <c r="L373" s="34"/>
      <c r="M373" s="34">
        <f>SUM(M25+M32+M57+M75+M106+M149+M166+M190+M197+M208+M217+M287+M303+M313+M330+M343+M360+M369)</f>
        <v>300111</v>
      </c>
      <c r="N373" s="34">
        <f>SUM(N25+N32+N57+N75+N106+N149+N166+N190+N197+N208+N217+N287+N303+N313+N330+N343+N360+N369)</f>
        <v>17855</v>
      </c>
      <c r="O373" s="34">
        <f>SUM(O25+O32+O57+O75+O106+O149+O166+O190+O197+O208+O217+O287+O303+O313+O330+O343+O360+O369)</f>
        <v>317966</v>
      </c>
      <c r="P373" s="34">
        <f>SUM(P25+P32+P57+P75+P106+P149+P166+P190+P197+P208+P217+P287+P303+P313+P330+P343+P360+P369)</f>
        <v>363</v>
      </c>
      <c r="Q373" s="34">
        <f>SUM(Q25+Q32+Q57+Q75+Q106+Q149+Q166+Q190+Q197+Q208+Q217+Q287+Q303+Q313+Q330+Q343+Q360+Q369)</f>
        <v>318329</v>
      </c>
      <c r="R373" s="34">
        <f>SUM(R25+R32+R57+R75+R106+R149+'[1]módosítások párhuzamban'!$G$5562+R190+R197+R208+R217+R287+R303+R313+R330+R343+R360+R369)</f>
        <v>4533</v>
      </c>
      <c r="S373" s="34">
        <f>SUM(S25+S32+S57+S75+S106+S149+S166+S190+S197+S208+S217+S287+S303+S313+S330+S343+S360+S369)</f>
        <v>322862</v>
      </c>
      <c r="T373" s="34">
        <f>SUM(T25+T32+T57+T75+T106+T149+T166+T190+T197+T208+T217+T287+T303+T313+T330+T343+T360+T369)</f>
        <v>4795</v>
      </c>
      <c r="U373" s="34">
        <f>SUM(U25+U32+U57+U75+U106+U149+U166+U190+U197+U208+U217+U287+U303+U313+U330+U343+U360+U369)</f>
        <v>327657</v>
      </c>
      <c r="X373" s="239"/>
    </row>
    <row r="374" spans="1:85">
      <c r="A374" s="23"/>
      <c r="B374" s="121"/>
      <c r="C374" s="2" t="s">
        <v>1313</v>
      </c>
      <c r="D374" s="34">
        <v>1</v>
      </c>
      <c r="E374" s="34">
        <v>1</v>
      </c>
      <c r="F374" s="34">
        <f>D374+E374</f>
        <v>2</v>
      </c>
      <c r="G374" s="34"/>
      <c r="H374" s="34">
        <f>F374+G374</f>
        <v>2</v>
      </c>
      <c r="I374" s="34"/>
      <c r="J374" s="34">
        <f>H374+I374</f>
        <v>2</v>
      </c>
      <c r="K374" s="34"/>
      <c r="L374" s="34">
        <f>J374+K374</f>
        <v>2</v>
      </c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85">
      <c r="A375" s="23"/>
      <c r="B375" s="121"/>
      <c r="C375" s="2" t="s">
        <v>1314</v>
      </c>
      <c r="D375" s="34">
        <f>SUM(D288+D304)</f>
        <v>69</v>
      </c>
      <c r="E375" s="34"/>
      <c r="F375" s="34">
        <f>D375+E375</f>
        <v>69</v>
      </c>
      <c r="G375" s="34"/>
      <c r="H375" s="34">
        <f>F375+G375</f>
        <v>69</v>
      </c>
      <c r="I375" s="34"/>
      <c r="J375" s="34">
        <f>H375+I375</f>
        <v>69</v>
      </c>
      <c r="K375" s="34"/>
      <c r="L375" s="34">
        <f>J375+K375</f>
        <v>69</v>
      </c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85"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S376" s="36"/>
      <c r="T376" s="36"/>
      <c r="U376" s="36"/>
    </row>
    <row r="377" spans="1:85" s="192" customFormat="1" ht="15">
      <c r="A377" s="264" t="s">
        <v>1647</v>
      </c>
      <c r="B377" s="265"/>
      <c r="C377" s="266"/>
      <c r="D377" s="267"/>
      <c r="E377" s="267"/>
      <c r="F377" s="267"/>
      <c r="G377" s="267"/>
      <c r="H377" s="267"/>
      <c r="I377" s="267"/>
      <c r="J377" s="267"/>
      <c r="K377" s="267"/>
      <c r="L377" s="267"/>
      <c r="M377" s="267"/>
      <c r="N377" s="267"/>
      <c r="O377" s="267"/>
      <c r="P377" s="267"/>
      <c r="Q377" s="267"/>
      <c r="R377" s="279"/>
      <c r="S377" s="267"/>
      <c r="T377" s="267"/>
      <c r="U377" s="268"/>
      <c r="V377" s="215"/>
      <c r="W377" s="215"/>
      <c r="X377" s="215"/>
      <c r="Y377" s="215"/>
      <c r="Z377" s="215"/>
      <c r="AA377" s="215"/>
      <c r="AB377" s="215"/>
      <c r="AC377" s="215"/>
      <c r="AD377" s="215"/>
      <c r="AE377" s="215"/>
      <c r="AF377" s="215"/>
      <c r="AG377" s="215"/>
      <c r="AH377" s="215"/>
      <c r="AI377" s="215"/>
      <c r="AJ377" s="215"/>
      <c r="AK377" s="215"/>
      <c r="AL377" s="215"/>
      <c r="AM377" s="215"/>
      <c r="AN377" s="215"/>
      <c r="AO377" s="215"/>
      <c r="AP377" s="215"/>
      <c r="AQ377" s="215"/>
      <c r="AR377" s="215"/>
      <c r="AS377" s="215"/>
      <c r="AT377" s="215"/>
      <c r="AU377" s="215"/>
      <c r="AV377" s="215"/>
      <c r="AW377" s="215"/>
      <c r="AX377" s="215"/>
      <c r="AY377" s="215"/>
      <c r="AZ377" s="215"/>
      <c r="BA377" s="215"/>
      <c r="BB377" s="215"/>
      <c r="BC377" s="215"/>
      <c r="BD377" s="215"/>
      <c r="BE377" s="215"/>
      <c r="BF377" s="215"/>
      <c r="BG377" s="215"/>
      <c r="BH377" s="215"/>
      <c r="BI377" s="215"/>
      <c r="BJ377" s="215"/>
      <c r="BK377" s="215"/>
      <c r="BL377" s="215"/>
      <c r="BM377" s="215"/>
      <c r="BN377" s="215"/>
      <c r="BO377" s="215"/>
      <c r="BP377" s="215"/>
      <c r="BQ377" s="215"/>
      <c r="BR377" s="215"/>
      <c r="BS377" s="215"/>
      <c r="BT377" s="215"/>
      <c r="BU377" s="215"/>
      <c r="BV377" s="215"/>
      <c r="BW377" s="215"/>
      <c r="BX377" s="215"/>
      <c r="BY377" s="215"/>
      <c r="BZ377" s="215"/>
      <c r="CA377" s="215"/>
      <c r="CB377" s="215"/>
      <c r="CC377" s="215"/>
      <c r="CD377" s="215"/>
      <c r="CE377" s="215"/>
      <c r="CF377" s="215"/>
      <c r="CG377" s="215"/>
    </row>
    <row r="378" spans="1:85" ht="22.5">
      <c r="A378" s="15" t="s">
        <v>1421</v>
      </c>
      <c r="B378" s="121"/>
      <c r="C378" s="61" t="s">
        <v>1408</v>
      </c>
      <c r="D378" s="186" t="s">
        <v>1278</v>
      </c>
      <c r="E378" s="186" t="s">
        <v>696</v>
      </c>
      <c r="F378" s="186" t="s">
        <v>698</v>
      </c>
      <c r="G378" s="186"/>
      <c r="H378" s="186" t="s">
        <v>698</v>
      </c>
      <c r="I378" s="186"/>
      <c r="J378" s="186" t="s">
        <v>698</v>
      </c>
      <c r="K378" s="186"/>
      <c r="L378" s="186" t="s">
        <v>698</v>
      </c>
      <c r="M378" s="186" t="s">
        <v>1278</v>
      </c>
      <c r="N378" s="186" t="s">
        <v>696</v>
      </c>
      <c r="O378" s="186" t="s">
        <v>697</v>
      </c>
      <c r="P378" s="186"/>
      <c r="Q378" s="186" t="s">
        <v>697</v>
      </c>
      <c r="R378" s="187"/>
      <c r="S378" s="186" t="s">
        <v>697</v>
      </c>
      <c r="T378" s="186"/>
      <c r="U378" s="186" t="s">
        <v>697</v>
      </c>
    </row>
    <row r="379" spans="1:85">
      <c r="A379" s="23" t="s">
        <v>1433</v>
      </c>
      <c r="B379" s="121"/>
      <c r="C379" s="62" t="s">
        <v>1411</v>
      </c>
      <c r="D379" s="13">
        <f t="shared" ref="D379:F380" si="34">SUM(D46+D92+D202+D277+D293+D318+D335+D350)</f>
        <v>40974</v>
      </c>
      <c r="E379" s="13">
        <f t="shared" si="34"/>
        <v>2153</v>
      </c>
      <c r="F379" s="13">
        <f t="shared" si="34"/>
        <v>43127</v>
      </c>
      <c r="G379" s="13"/>
      <c r="H379" s="13">
        <f t="shared" ref="H379:L380" si="35">SUM(H46+H92+H202+H277+H293+H318+H335+H350)</f>
        <v>43127</v>
      </c>
      <c r="I379" s="13">
        <f t="shared" si="35"/>
        <v>2238</v>
      </c>
      <c r="J379" s="13">
        <f t="shared" si="35"/>
        <v>45365</v>
      </c>
      <c r="K379" s="13">
        <f t="shared" si="35"/>
        <v>0</v>
      </c>
      <c r="L379" s="13">
        <f t="shared" si="35"/>
        <v>45365</v>
      </c>
      <c r="M379" s="13"/>
      <c r="N379" s="13"/>
      <c r="O379" s="13"/>
      <c r="P379" s="13"/>
      <c r="Q379" s="13"/>
      <c r="R379" s="33"/>
      <c r="S379" s="13"/>
      <c r="T379" s="13"/>
      <c r="U379" s="13"/>
      <c r="W379" s="256">
        <v>45365</v>
      </c>
      <c r="X379" s="256">
        <f>W379-L379</f>
        <v>0</v>
      </c>
    </row>
    <row r="380" spans="1:85">
      <c r="A380" s="23" t="s">
        <v>1434</v>
      </c>
      <c r="B380" s="121"/>
      <c r="C380" s="58" t="s">
        <v>1435</v>
      </c>
      <c r="D380" s="13">
        <f t="shared" si="34"/>
        <v>8141</v>
      </c>
      <c r="E380" s="13">
        <f t="shared" si="34"/>
        <v>291</v>
      </c>
      <c r="F380" s="13">
        <f t="shared" si="34"/>
        <v>8432</v>
      </c>
      <c r="G380" s="13"/>
      <c r="H380" s="13">
        <f t="shared" si="35"/>
        <v>8432</v>
      </c>
      <c r="I380" s="13">
        <f t="shared" si="35"/>
        <v>279</v>
      </c>
      <c r="J380" s="13">
        <f t="shared" si="35"/>
        <v>8711</v>
      </c>
      <c r="K380" s="13">
        <f t="shared" si="35"/>
        <v>0</v>
      </c>
      <c r="L380" s="13">
        <f t="shared" si="35"/>
        <v>8711</v>
      </c>
      <c r="M380" s="13"/>
      <c r="N380" s="13"/>
      <c r="O380" s="13"/>
      <c r="P380" s="13"/>
      <c r="Q380" s="13"/>
      <c r="R380" s="33"/>
      <c r="S380" s="13"/>
      <c r="T380" s="13"/>
      <c r="U380" s="13"/>
      <c r="W380" s="256">
        <v>8711</v>
      </c>
      <c r="X380" s="256">
        <f t="shared" ref="X380:X389" si="36">W380-L380</f>
        <v>0</v>
      </c>
    </row>
    <row r="381" spans="1:85">
      <c r="A381" s="23" t="s">
        <v>1535</v>
      </c>
      <c r="B381" s="121"/>
      <c r="C381" s="62" t="s">
        <v>1593</v>
      </c>
      <c r="D381" s="13">
        <f>SUM(D11+D12+D18+D19+D48+D49+D80+D81+D94+D95+D178+D179+D188+D189+D204+D205+D279+D311+D312+D320+D337)</f>
        <v>15459</v>
      </c>
      <c r="E381" s="13">
        <f t="shared" ref="E381:J381" si="37">SUM(E11+E12+E18+E19+E48+E49+E80+E81+E94+E95+E178+E179+E188+E189+E204+E205+E279+E311+E312+E320+E337+E352+E367)</f>
        <v>14640</v>
      </c>
      <c r="F381" s="13">
        <f t="shared" si="37"/>
        <v>30099</v>
      </c>
      <c r="G381" s="13">
        <f t="shared" si="37"/>
        <v>12921</v>
      </c>
      <c r="H381" s="13">
        <f t="shared" si="37"/>
        <v>43020</v>
      </c>
      <c r="I381" s="13">
        <f t="shared" si="37"/>
        <v>18412</v>
      </c>
      <c r="J381" s="13">
        <f t="shared" si="37"/>
        <v>61432</v>
      </c>
      <c r="K381" s="13">
        <f>SUM(K11+K12+K18+K19+K48+K49+K80+K81+K94+K95+K178+K179+K188+K189+K204+K205+K279+K311+K312+K320+K337+K352+K367)</f>
        <v>-3086</v>
      </c>
      <c r="L381" s="33">
        <f>SUM(L11+L12+L18+L19+L48+L49+L80+L81+L94+L95+L178+L179+L188+L189+L204+L205+L279+L311+L312+L320+L337+L352+L367)</f>
        <v>58346</v>
      </c>
      <c r="M381" s="13"/>
      <c r="N381" s="13"/>
      <c r="O381" s="13"/>
      <c r="P381" s="13"/>
      <c r="Q381" s="13"/>
      <c r="R381" s="33"/>
      <c r="S381" s="13"/>
      <c r="T381" s="13"/>
      <c r="U381" s="13"/>
      <c r="W381" s="256">
        <v>58346</v>
      </c>
      <c r="X381" s="256">
        <f>W381-L381</f>
        <v>0</v>
      </c>
    </row>
    <row r="382" spans="1:85">
      <c r="A382" s="23" t="s">
        <v>1667</v>
      </c>
      <c r="B382" s="121"/>
      <c r="C382" s="52" t="s">
        <v>1555</v>
      </c>
      <c r="D382" s="13">
        <f>SUM(D259+D265+D53)</f>
        <v>18856</v>
      </c>
      <c r="E382" s="13">
        <f t="shared" ref="E382:J382" si="38">SUM(E259+E265+E53+E353)</f>
        <v>3851</v>
      </c>
      <c r="F382" s="13">
        <f t="shared" si="38"/>
        <v>22707</v>
      </c>
      <c r="G382" s="13">
        <f t="shared" si="38"/>
        <v>-13437</v>
      </c>
      <c r="H382" s="13">
        <f t="shared" si="38"/>
        <v>9270</v>
      </c>
      <c r="I382" s="13">
        <f t="shared" si="38"/>
        <v>14049</v>
      </c>
      <c r="J382" s="13">
        <f t="shared" si="38"/>
        <v>23319</v>
      </c>
      <c r="K382" s="13">
        <f>SUM(K259+K265+K53+K353+K54)</f>
        <v>5447</v>
      </c>
      <c r="L382" s="33">
        <f>SUM(L259+L265+L53+L353+L54)</f>
        <v>28766</v>
      </c>
      <c r="M382" s="13"/>
      <c r="N382" s="13"/>
      <c r="O382" s="13"/>
      <c r="P382" s="13"/>
      <c r="Q382" s="13"/>
      <c r="R382" s="33"/>
      <c r="S382" s="13"/>
      <c r="T382" s="13"/>
      <c r="U382" s="13"/>
      <c r="W382" s="256">
        <f>4273+24264+229</f>
        <v>28766</v>
      </c>
      <c r="X382" s="256">
        <f t="shared" si="36"/>
        <v>0</v>
      </c>
    </row>
    <row r="383" spans="1:85">
      <c r="A383" s="23" t="s">
        <v>1585</v>
      </c>
      <c r="B383" s="121"/>
      <c r="C383" s="52" t="s">
        <v>1586</v>
      </c>
      <c r="D383" s="13">
        <f t="shared" ref="D383:K383" si="39">SUM(D271)</f>
        <v>960</v>
      </c>
      <c r="E383" s="13">
        <f t="shared" si="39"/>
        <v>0</v>
      </c>
      <c r="F383" s="13">
        <f t="shared" si="39"/>
        <v>960</v>
      </c>
      <c r="G383" s="13">
        <f t="shared" si="39"/>
        <v>789</v>
      </c>
      <c r="H383" s="13">
        <f t="shared" si="39"/>
        <v>1749</v>
      </c>
      <c r="I383" s="13">
        <f t="shared" si="39"/>
        <v>0</v>
      </c>
      <c r="J383" s="13">
        <f t="shared" si="39"/>
        <v>1749</v>
      </c>
      <c r="K383" s="13">
        <f t="shared" si="39"/>
        <v>22</v>
      </c>
      <c r="L383" s="33">
        <f>SUM(L271)</f>
        <v>1771</v>
      </c>
      <c r="M383" s="13"/>
      <c r="N383" s="13"/>
      <c r="O383" s="13"/>
      <c r="P383" s="13"/>
      <c r="Q383" s="13"/>
      <c r="R383" s="33"/>
      <c r="S383" s="13"/>
      <c r="T383" s="13"/>
      <c r="U383" s="13"/>
      <c r="W383" s="256">
        <v>1771</v>
      </c>
      <c r="X383" s="256">
        <f t="shared" si="36"/>
        <v>0</v>
      </c>
    </row>
    <row r="384" spans="1:85">
      <c r="A384" s="23" t="s">
        <v>1594</v>
      </c>
      <c r="B384" s="121"/>
      <c r="C384" s="62" t="s">
        <v>1595</v>
      </c>
      <c r="D384" s="13">
        <f>SUM(D216+D222+D229+D235+D241+D247+D253)</f>
        <v>853</v>
      </c>
      <c r="E384" s="13">
        <f>SUM(E216+E222+E229+E235+E241+E247+E253)</f>
        <v>0</v>
      </c>
      <c r="F384" s="13">
        <f>SUM(F216+F222+F229+F235+F241+F247+F253)</f>
        <v>853</v>
      </c>
      <c r="G384" s="13"/>
      <c r="H384" s="13">
        <f>SUM(H216+H222+H229+H235+H241+H247+H253)</f>
        <v>853</v>
      </c>
      <c r="I384" s="13">
        <f>SUM(I216+I222+I229+I235+I241+I247+I253)</f>
        <v>0</v>
      </c>
      <c r="J384" s="13">
        <f>SUM(J216+J222+J229+J235+J241+J247+J253)</f>
        <v>853</v>
      </c>
      <c r="K384" s="13">
        <f>SUM(K216+K222+K229+K235+K241+K247+K253)</f>
        <v>591</v>
      </c>
      <c r="L384" s="33">
        <f>SUM(L216+L222+L229+L235+L241+L247+L253)</f>
        <v>1444</v>
      </c>
      <c r="M384" s="13"/>
      <c r="N384" s="13"/>
      <c r="O384" s="13"/>
      <c r="P384" s="13"/>
      <c r="Q384" s="13"/>
      <c r="R384" s="33"/>
      <c r="S384" s="13"/>
      <c r="T384" s="13"/>
      <c r="U384" s="13"/>
      <c r="W384" s="256">
        <v>1444</v>
      </c>
      <c r="X384" s="256">
        <f t="shared" si="36"/>
        <v>0</v>
      </c>
    </row>
    <row r="385" spans="1:25">
      <c r="A385" s="23" t="s">
        <v>1596</v>
      </c>
      <c r="B385" s="121"/>
      <c r="C385" s="62" t="s">
        <v>1307</v>
      </c>
      <c r="D385" s="13">
        <f>SUM(D101+D103+D286+D302+D326+D327+D342+D359)</f>
        <v>2413</v>
      </c>
      <c r="E385" s="13">
        <f>SUM(E101+E103+E286+E302+E326+E327+E342+E359)</f>
        <v>0</v>
      </c>
      <c r="F385" s="13">
        <f>SUM(F101+F103+F286+F302+F326+F327+F342+F359)</f>
        <v>2413</v>
      </c>
      <c r="G385" s="13"/>
      <c r="H385" s="13">
        <f>SUM(H101+H103+H286+H302+H326+H327+H342+H359)</f>
        <v>2413</v>
      </c>
      <c r="I385" s="13">
        <f>SUM(I101+I103+I286+I302+I326+I327+I342+I359)</f>
        <v>-917</v>
      </c>
      <c r="J385" s="13">
        <f>SUM(J101+J103+J286+J302+J326+J327+J342+J359)</f>
        <v>1496</v>
      </c>
      <c r="K385" s="13">
        <f>SUM(K101+K103+K286+K302+K326+K327+K342+K359)</f>
        <v>1</v>
      </c>
      <c r="L385" s="13">
        <f>SUM(L101+L103+L286+L302+L326+L327+L342+L359)</f>
        <v>1497</v>
      </c>
      <c r="M385" s="13"/>
      <c r="N385" s="13"/>
      <c r="O385" s="13"/>
      <c r="P385" s="13"/>
      <c r="Q385" s="13"/>
      <c r="R385" s="33"/>
      <c r="S385" s="13"/>
      <c r="T385" s="13"/>
      <c r="U385" s="13"/>
      <c r="W385" s="256">
        <v>1497</v>
      </c>
      <c r="X385" s="256">
        <f t="shared" si="36"/>
        <v>0</v>
      </c>
    </row>
    <row r="386" spans="1:25">
      <c r="A386" s="185" t="s">
        <v>1267</v>
      </c>
      <c r="B386" s="121"/>
      <c r="C386" s="52" t="s">
        <v>1268</v>
      </c>
      <c r="D386" s="13">
        <f>SUM(D162+D163+D164)</f>
        <v>130251</v>
      </c>
      <c r="E386" s="13">
        <f>SUM(E162+E163+E164)</f>
        <v>-14518</v>
      </c>
      <c r="F386" s="13">
        <f>SUM(F162+F163+F164)</f>
        <v>115733</v>
      </c>
      <c r="G386" s="13"/>
      <c r="H386" s="13">
        <f>SUM(H162+H163+H164)</f>
        <v>115733</v>
      </c>
      <c r="I386" s="13">
        <f>SUM(I162+I163+I164)</f>
        <v>0</v>
      </c>
      <c r="J386" s="13">
        <f>SUM(J162+J163+J164)</f>
        <v>115733</v>
      </c>
      <c r="K386" s="13">
        <f>SUM(K162+K163+K164)</f>
        <v>-3342</v>
      </c>
      <c r="L386" s="13">
        <f>SUM(L162+L163+L164)</f>
        <v>112391</v>
      </c>
      <c r="M386" s="13"/>
      <c r="N386" s="13"/>
      <c r="O386" s="13"/>
      <c r="P386" s="13"/>
      <c r="Q386" s="13"/>
      <c r="R386" s="33"/>
      <c r="S386" s="13"/>
      <c r="T386" s="13"/>
      <c r="U386" s="13"/>
      <c r="W386" s="256">
        <f>46587+65804</f>
        <v>112391</v>
      </c>
      <c r="X386" s="256">
        <f t="shared" si="36"/>
        <v>0</v>
      </c>
    </row>
    <row r="387" spans="1:25">
      <c r="A387" s="23" t="s">
        <v>1570</v>
      </c>
      <c r="B387" s="121"/>
      <c r="C387" s="66" t="s">
        <v>1529</v>
      </c>
      <c r="D387" s="13">
        <f>SUM(D165)</f>
        <v>2206</v>
      </c>
      <c r="E387" s="13">
        <f>SUM(E165)</f>
        <v>10774</v>
      </c>
      <c r="F387" s="13">
        <f>SUM(F165)</f>
        <v>12980</v>
      </c>
      <c r="G387" s="13"/>
      <c r="H387" s="13">
        <f>SUM(H165)</f>
        <v>12980</v>
      </c>
      <c r="I387" s="13">
        <f>SUM(I165)</f>
        <v>0</v>
      </c>
      <c r="J387" s="13">
        <f>SUM(J165)</f>
        <v>12980</v>
      </c>
      <c r="K387" s="13">
        <f>SUM(K165)</f>
        <v>3135</v>
      </c>
      <c r="L387" s="13">
        <f>SUM(L165)</f>
        <v>16115</v>
      </c>
      <c r="M387" s="13"/>
      <c r="N387" s="13"/>
      <c r="O387" s="13"/>
      <c r="P387" s="13"/>
      <c r="Q387" s="13"/>
      <c r="R387" s="33"/>
      <c r="S387" s="13"/>
      <c r="T387" s="13"/>
      <c r="U387" s="13"/>
      <c r="W387" s="256">
        <f>5341+10774</f>
        <v>16115</v>
      </c>
      <c r="X387" s="256">
        <f t="shared" si="36"/>
        <v>0</v>
      </c>
    </row>
    <row r="388" spans="1:25">
      <c r="A388" s="23" t="s">
        <v>1705</v>
      </c>
      <c r="B388" s="121"/>
      <c r="C388" s="59" t="s">
        <v>1418</v>
      </c>
      <c r="D388" s="13">
        <f>SUM(D358)</f>
        <v>3463</v>
      </c>
      <c r="E388" s="13">
        <f>SUM(E358)</f>
        <v>0</v>
      </c>
      <c r="F388" s="13">
        <f>SUM(F358)</f>
        <v>3463</v>
      </c>
      <c r="G388" s="13"/>
      <c r="H388" s="13">
        <f>SUM(H358)</f>
        <v>3463</v>
      </c>
      <c r="I388" s="13">
        <f>SUM(I358)</f>
        <v>-864</v>
      </c>
      <c r="J388" s="13">
        <f>SUM(J358)</f>
        <v>2599</v>
      </c>
      <c r="K388" s="13">
        <f>SUM(K358)</f>
        <v>864</v>
      </c>
      <c r="L388" s="13">
        <f>SUM(L358)</f>
        <v>3463</v>
      </c>
      <c r="M388" s="13"/>
      <c r="N388" s="13"/>
      <c r="O388" s="13"/>
      <c r="P388" s="13"/>
      <c r="Q388" s="13"/>
      <c r="R388" s="33"/>
      <c r="S388" s="13"/>
      <c r="T388" s="13"/>
      <c r="U388" s="13"/>
      <c r="W388" s="256">
        <v>3463</v>
      </c>
      <c r="X388" s="256">
        <f t="shared" si="36"/>
        <v>0</v>
      </c>
    </row>
    <row r="389" spans="1:25">
      <c r="A389" s="23" t="s">
        <v>1274</v>
      </c>
      <c r="B389" s="121"/>
      <c r="C389" s="63" t="s">
        <v>1414</v>
      </c>
      <c r="D389" s="13">
        <f t="shared" ref="D389:L389" si="40">SUM(D171)</f>
        <v>76535</v>
      </c>
      <c r="E389" s="13">
        <f t="shared" si="40"/>
        <v>664</v>
      </c>
      <c r="F389" s="13">
        <f t="shared" si="40"/>
        <v>77199</v>
      </c>
      <c r="G389" s="13">
        <f t="shared" si="40"/>
        <v>90</v>
      </c>
      <c r="H389" s="13">
        <f t="shared" si="40"/>
        <v>77289</v>
      </c>
      <c r="I389" s="13">
        <f t="shared" si="40"/>
        <v>-28664</v>
      </c>
      <c r="J389" s="13">
        <f t="shared" si="40"/>
        <v>48625</v>
      </c>
      <c r="K389" s="13">
        <f t="shared" si="40"/>
        <v>1163</v>
      </c>
      <c r="L389" s="13">
        <f t="shared" si="40"/>
        <v>49788</v>
      </c>
      <c r="M389" s="13"/>
      <c r="N389" s="13"/>
      <c r="O389" s="13"/>
      <c r="P389" s="13"/>
      <c r="Q389" s="13"/>
      <c r="R389" s="33"/>
      <c r="S389" s="13"/>
      <c r="T389" s="13"/>
      <c r="U389" s="13"/>
      <c r="W389" s="256">
        <v>44993</v>
      </c>
      <c r="X389" s="256">
        <f t="shared" si="36"/>
        <v>-4795</v>
      </c>
    </row>
    <row r="390" spans="1:25">
      <c r="A390" s="23"/>
      <c r="B390" s="121"/>
      <c r="C390" s="61" t="s">
        <v>1409</v>
      </c>
      <c r="D390" s="24">
        <f t="shared" ref="D390:L390" si="41">SUM(D379:D389)</f>
        <v>300111</v>
      </c>
      <c r="E390" s="24">
        <f t="shared" si="41"/>
        <v>17855</v>
      </c>
      <c r="F390" s="24">
        <f t="shared" si="41"/>
        <v>317966</v>
      </c>
      <c r="G390" s="24">
        <f t="shared" si="41"/>
        <v>363</v>
      </c>
      <c r="H390" s="24">
        <f t="shared" si="41"/>
        <v>318329</v>
      </c>
      <c r="I390" s="24">
        <f t="shared" si="41"/>
        <v>4533</v>
      </c>
      <c r="J390" s="24">
        <f t="shared" si="41"/>
        <v>322862</v>
      </c>
      <c r="K390" s="24">
        <f t="shared" si="41"/>
        <v>4795</v>
      </c>
      <c r="L390" s="24">
        <f t="shared" si="41"/>
        <v>327657</v>
      </c>
      <c r="M390" s="25"/>
      <c r="N390" s="25"/>
      <c r="O390" s="25"/>
      <c r="P390" s="25"/>
      <c r="Q390" s="25"/>
      <c r="R390" s="35"/>
      <c r="S390" s="25"/>
      <c r="T390" s="25"/>
      <c r="U390" s="25"/>
      <c r="W390" s="256">
        <f>SUM(W379:W389)</f>
        <v>322862</v>
      </c>
      <c r="X390" s="256">
        <f>SUM(X379:X389)</f>
        <v>-4795</v>
      </c>
    </row>
    <row r="391" spans="1:25">
      <c r="A391" s="23"/>
      <c r="B391" s="121"/>
      <c r="C391" s="61" t="s">
        <v>1410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33"/>
      <c r="S391" s="13"/>
      <c r="T391" s="13"/>
      <c r="U391" s="13"/>
      <c r="W391" s="256"/>
      <c r="X391" s="239"/>
    </row>
    <row r="392" spans="1:25">
      <c r="A392" s="23" t="s">
        <v>1439</v>
      </c>
      <c r="B392" s="121"/>
      <c r="C392" s="58" t="s">
        <v>1281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>
        <f t="shared" ref="M392:R392" si="42">SUM(M25+M44+M62+M87+M88+M185+M186+M195+M196+M214+M309+M348+M365)</f>
        <v>16169</v>
      </c>
      <c r="N392" s="13">
        <f t="shared" si="42"/>
        <v>0</v>
      </c>
      <c r="O392" s="13">
        <f t="shared" si="42"/>
        <v>16169</v>
      </c>
      <c r="P392" s="13">
        <f t="shared" si="42"/>
        <v>0</v>
      </c>
      <c r="Q392" s="13">
        <f t="shared" si="42"/>
        <v>16169</v>
      </c>
      <c r="R392" s="33">
        <f t="shared" si="42"/>
        <v>2503</v>
      </c>
      <c r="S392" s="13">
        <f>SUM(S25+S44+S62+S87+S88+S185+S186+S195+S196+S214+S309+S348+S365)</f>
        <v>18672</v>
      </c>
      <c r="T392" s="13">
        <f>SUM(T25+T44+T62+T87+T88+T185+T186+T195+T196+T214+T309+T348+T365)</f>
        <v>-10067</v>
      </c>
      <c r="U392" s="13">
        <f>SUM(U25+U44+U62+U87+U88+U185+U186+U195+U196+U214+U309+U348+U365)</f>
        <v>8605</v>
      </c>
      <c r="W392" s="256"/>
      <c r="X392" s="257">
        <f t="shared" ref="X392:X403" si="43">W392-U392</f>
        <v>-8605</v>
      </c>
      <c r="Y392" s="258"/>
    </row>
    <row r="393" spans="1:25">
      <c r="A393" s="23" t="s">
        <v>1548</v>
      </c>
      <c r="B393" s="121"/>
      <c r="C393" s="58" t="s">
        <v>1549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>
        <f t="shared" ref="M393:R393" si="44">SUM(M31)</f>
        <v>4235</v>
      </c>
      <c r="N393" s="13">
        <f t="shared" si="44"/>
        <v>0</v>
      </c>
      <c r="O393" s="13">
        <f t="shared" si="44"/>
        <v>4235</v>
      </c>
      <c r="P393" s="13">
        <f t="shared" si="44"/>
        <v>0</v>
      </c>
      <c r="Q393" s="13">
        <f t="shared" si="44"/>
        <v>4235</v>
      </c>
      <c r="R393" s="33">
        <f t="shared" si="44"/>
        <v>0</v>
      </c>
      <c r="S393" s="13">
        <f>SUM(S31)</f>
        <v>4235</v>
      </c>
      <c r="T393" s="13">
        <f>SUM(T31)</f>
        <v>0</v>
      </c>
      <c r="U393" s="13">
        <f>SUM(U31)</f>
        <v>4235</v>
      </c>
      <c r="V393" s="239"/>
      <c r="W393" s="256">
        <v>12840</v>
      </c>
      <c r="X393" s="257">
        <f t="shared" si="43"/>
        <v>8605</v>
      </c>
      <c r="Y393" s="258"/>
    </row>
    <row r="394" spans="1:25">
      <c r="A394" s="23" t="s">
        <v>1597</v>
      </c>
      <c r="B394" s="121"/>
      <c r="C394" s="62" t="s">
        <v>1533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>
        <f t="shared" ref="M394:R394" si="45">SUM(M64+M65+M66+M67+M68+M69+M72+M70+M71)</f>
        <v>36000</v>
      </c>
      <c r="N394" s="13">
        <f t="shared" si="45"/>
        <v>0</v>
      </c>
      <c r="O394" s="13">
        <f t="shared" si="45"/>
        <v>36000</v>
      </c>
      <c r="P394" s="13">
        <f t="shared" si="45"/>
        <v>0</v>
      </c>
      <c r="Q394" s="13">
        <f t="shared" si="45"/>
        <v>36000</v>
      </c>
      <c r="R394" s="33">
        <f t="shared" si="45"/>
        <v>0</v>
      </c>
      <c r="S394" s="13">
        <f>SUM(S64+S65+S66+S67+S68+S69+S72+S70+S71)</f>
        <v>36000</v>
      </c>
      <c r="T394" s="13">
        <f>SUM(T64+T65+T66+T67+T68+T69+T72+T70+T71)</f>
        <v>5629</v>
      </c>
      <c r="U394" s="13">
        <f>SUM(U64+U65+U66+U67+U68+U69+U72+U70+U71)</f>
        <v>41629</v>
      </c>
      <c r="W394" s="256">
        <v>41629</v>
      </c>
      <c r="X394" s="257">
        <f t="shared" si="43"/>
        <v>0</v>
      </c>
      <c r="Y394" s="258"/>
    </row>
    <row r="395" spans="1:25" ht="22.5">
      <c r="A395" s="23" t="s">
        <v>1697</v>
      </c>
      <c r="B395" s="121"/>
      <c r="C395" s="119" t="s">
        <v>1663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33">
        <f t="shared" ref="M395:R395" si="46">SUM(M112+M114+M113+M115+M116+M121+M123+M124+M118+M119+M120+M122+M129+M126+M128+M117+M125+M130+M131+M132+M127)</f>
        <v>48581</v>
      </c>
      <c r="N395" s="33">
        <f t="shared" si="46"/>
        <v>111292</v>
      </c>
      <c r="O395" s="33">
        <f t="shared" si="46"/>
        <v>159873</v>
      </c>
      <c r="P395" s="33">
        <f t="shared" si="46"/>
        <v>-79962</v>
      </c>
      <c r="Q395" s="33">
        <f t="shared" si="46"/>
        <v>79911</v>
      </c>
      <c r="R395" s="33">
        <f t="shared" si="46"/>
        <v>1976</v>
      </c>
      <c r="S395" s="33">
        <f>SUM(S112+S114+S113+S115+S116+S121+S123+S124+S118+S119+S120+S122+S129+S126+S128+S117+S125+S130+S131+S132+S127+S133+S134)</f>
        <v>81887</v>
      </c>
      <c r="T395" s="33">
        <f>SUM(T112+T114+T113+T115+T116+T121+T123+T124+T118+T119+T120+T122+T129+T126+T128+T117+T125+T130+T131+T132+T127+T133+T134)</f>
        <v>-2373</v>
      </c>
      <c r="U395" s="33">
        <f>SUM(U112+U114+U113+U115+U116+U121+U123+U124+U118+U119+U120+U122+U129+U126+U128+U117+U125+U130+U131+U132+U127+U133+U134)</f>
        <v>79514</v>
      </c>
      <c r="W395" s="256">
        <f>15096+16080+25579+1484+1887+19389</f>
        <v>79515</v>
      </c>
      <c r="X395" s="259">
        <f t="shared" si="43"/>
        <v>1</v>
      </c>
      <c r="Y395" s="258"/>
    </row>
    <row r="396" spans="1:25" ht="27.75" customHeight="1">
      <c r="A396" s="23" t="s">
        <v>1552</v>
      </c>
      <c r="B396" s="121"/>
      <c r="C396" s="119" t="s">
        <v>73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>
        <f t="shared" ref="M396:U396" si="47">SUM(M51+M90+M138+M140+M207+M281+M297+M329+M139)</f>
        <v>36556</v>
      </c>
      <c r="N396" s="13">
        <f t="shared" si="47"/>
        <v>2566</v>
      </c>
      <c r="O396" s="13">
        <f t="shared" si="47"/>
        <v>39122</v>
      </c>
      <c r="P396" s="13">
        <f t="shared" si="47"/>
        <v>4</v>
      </c>
      <c r="Q396" s="13">
        <f t="shared" si="47"/>
        <v>39126</v>
      </c>
      <c r="R396" s="33">
        <f t="shared" si="47"/>
        <v>0</v>
      </c>
      <c r="S396" s="13">
        <f t="shared" si="47"/>
        <v>39126</v>
      </c>
      <c r="T396" s="13">
        <f t="shared" si="47"/>
        <v>4793</v>
      </c>
      <c r="U396" s="13">
        <f t="shared" si="47"/>
        <v>43919</v>
      </c>
      <c r="V396" s="257">
        <f>SUM(U395:U396)</f>
        <v>123433</v>
      </c>
      <c r="W396" s="256">
        <f>5790+33332</f>
        <v>39122</v>
      </c>
      <c r="X396" s="259">
        <f t="shared" si="43"/>
        <v>-4797</v>
      </c>
      <c r="Y396" s="257">
        <f>SUM(X395:X396)</f>
        <v>-4796</v>
      </c>
    </row>
    <row r="397" spans="1:25" ht="22.5">
      <c r="A397" s="23" t="s">
        <v>1445</v>
      </c>
      <c r="B397" s="121"/>
      <c r="C397" s="119" t="s">
        <v>1696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>
        <f t="shared" ref="M397:R397" si="48">SUM(M142)</f>
        <v>0</v>
      </c>
      <c r="N397" s="13">
        <f t="shared" si="48"/>
        <v>0</v>
      </c>
      <c r="O397" s="13">
        <f t="shared" si="48"/>
        <v>0</v>
      </c>
      <c r="P397" s="13">
        <f t="shared" si="48"/>
        <v>0</v>
      </c>
      <c r="Q397" s="13">
        <f t="shared" si="48"/>
        <v>0</v>
      </c>
      <c r="R397" s="33">
        <f t="shared" si="48"/>
        <v>0</v>
      </c>
      <c r="S397" s="13">
        <f>SUM(S142)</f>
        <v>0</v>
      </c>
      <c r="T397" s="13">
        <f>SUM(T142)</f>
        <v>20</v>
      </c>
      <c r="U397" s="13">
        <f>SUM(U142)</f>
        <v>20</v>
      </c>
      <c r="W397" s="256">
        <v>20</v>
      </c>
      <c r="X397" s="257">
        <f t="shared" si="43"/>
        <v>0</v>
      </c>
      <c r="Y397" s="258"/>
    </row>
    <row r="398" spans="1:25" ht="22.5">
      <c r="A398" s="23" t="s">
        <v>1448</v>
      </c>
      <c r="B398" s="121"/>
      <c r="C398" s="119" t="s">
        <v>1588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33">
        <f t="shared" ref="M398:R398" si="49">SUM(M98+M284+M300+M323+M340+M356+M135)</f>
        <v>39737</v>
      </c>
      <c r="N398" s="33">
        <f t="shared" si="49"/>
        <v>0</v>
      </c>
      <c r="O398" s="33">
        <f t="shared" si="49"/>
        <v>39737</v>
      </c>
      <c r="P398" s="33">
        <f t="shared" si="49"/>
        <v>80321</v>
      </c>
      <c r="Q398" s="33">
        <f t="shared" si="49"/>
        <v>120058</v>
      </c>
      <c r="R398" s="33">
        <f t="shared" si="49"/>
        <v>54</v>
      </c>
      <c r="S398" s="33">
        <f>SUM(S98+S284+S300+S323+S340+S356+S135)</f>
        <v>120112</v>
      </c>
      <c r="T398" s="33">
        <f>SUM(T98+T284+T300+T323+T340+T356+T135)</f>
        <v>0</v>
      </c>
      <c r="U398" s="33">
        <f>SUM(U98+U284+U300+U323+U340+U356+U135)</f>
        <v>120112</v>
      </c>
      <c r="W398" s="256">
        <f>120113</f>
        <v>120113</v>
      </c>
      <c r="X398" s="259">
        <f t="shared" si="43"/>
        <v>1</v>
      </c>
      <c r="Y398" s="258"/>
    </row>
    <row r="399" spans="1:25">
      <c r="A399" s="23" t="s">
        <v>92</v>
      </c>
      <c r="B399" s="121"/>
      <c r="C399" s="52" t="s">
        <v>1304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33">
        <f t="shared" ref="M399:R399" si="50">SUM(M145+M146)</f>
        <v>90768</v>
      </c>
      <c r="N399" s="33">
        <f t="shared" si="50"/>
        <v>-90768</v>
      </c>
      <c r="O399" s="33">
        <f t="shared" si="50"/>
        <v>0</v>
      </c>
      <c r="P399" s="33">
        <f t="shared" si="50"/>
        <v>0</v>
      </c>
      <c r="Q399" s="33">
        <f t="shared" si="50"/>
        <v>0</v>
      </c>
      <c r="R399" s="33">
        <f t="shared" si="50"/>
        <v>0</v>
      </c>
      <c r="S399" s="33">
        <f>SUM(S145+S146)</f>
        <v>0</v>
      </c>
      <c r="T399" s="33">
        <f>SUM(T145+T146+T147)</f>
        <v>100</v>
      </c>
      <c r="U399" s="33">
        <f>SUM(U145+U146+U147)</f>
        <v>100</v>
      </c>
      <c r="W399" s="256">
        <v>100</v>
      </c>
      <c r="X399" s="257">
        <f t="shared" si="43"/>
        <v>0</v>
      </c>
      <c r="Y399" s="258"/>
    </row>
    <row r="400" spans="1:25">
      <c r="A400" s="23" t="s">
        <v>1694</v>
      </c>
      <c r="B400" s="121"/>
      <c r="C400" s="52" t="s">
        <v>1695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>
        <f t="shared" ref="M400:R400" si="51">M148</f>
        <v>9209</v>
      </c>
      <c r="N400" s="13">
        <f t="shared" si="51"/>
        <v>0</v>
      </c>
      <c r="O400" s="13">
        <f t="shared" si="51"/>
        <v>9209</v>
      </c>
      <c r="P400" s="13">
        <f t="shared" si="51"/>
        <v>0</v>
      </c>
      <c r="Q400" s="13">
        <f t="shared" si="51"/>
        <v>9209</v>
      </c>
      <c r="R400" s="33">
        <f t="shared" si="51"/>
        <v>0</v>
      </c>
      <c r="S400" s="13">
        <f>S148</f>
        <v>9209</v>
      </c>
      <c r="T400" s="13">
        <f>T148</f>
        <v>6693</v>
      </c>
      <c r="U400" s="13">
        <f>U148</f>
        <v>15902</v>
      </c>
      <c r="W400" s="256">
        <v>15902</v>
      </c>
      <c r="X400" s="257">
        <f t="shared" si="43"/>
        <v>0</v>
      </c>
      <c r="Y400" s="258"/>
    </row>
    <row r="401" spans="1:25">
      <c r="A401" s="23" t="s">
        <v>1573</v>
      </c>
      <c r="B401" s="121"/>
      <c r="C401" s="62" t="s">
        <v>1599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>
        <f t="shared" ref="M401:R401" si="52">SUM(M159+M160)</f>
        <v>0</v>
      </c>
      <c r="N401" s="13">
        <f t="shared" si="52"/>
        <v>0</v>
      </c>
      <c r="O401" s="13">
        <f t="shared" si="52"/>
        <v>0</v>
      </c>
      <c r="P401" s="13">
        <f t="shared" si="52"/>
        <v>0</v>
      </c>
      <c r="Q401" s="13">
        <f t="shared" si="52"/>
        <v>0</v>
      </c>
      <c r="R401" s="33">
        <f t="shared" si="52"/>
        <v>0</v>
      </c>
      <c r="S401" s="13">
        <f>SUM(S159+S160)</f>
        <v>0</v>
      </c>
      <c r="T401" s="13">
        <f>SUM(T159+T160)</f>
        <v>0</v>
      </c>
      <c r="U401" s="13">
        <f>SUM(U159+U160)</f>
        <v>0</v>
      </c>
      <c r="W401" s="256">
        <v>0</v>
      </c>
      <c r="X401" s="257">
        <f t="shared" si="43"/>
        <v>0</v>
      </c>
      <c r="Y401" s="258"/>
    </row>
    <row r="402" spans="1:25" s="215" customFormat="1">
      <c r="A402" s="217" t="s">
        <v>1557</v>
      </c>
      <c r="B402" s="218"/>
      <c r="C402" s="243" t="s">
        <v>1598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>
        <f t="shared" ref="M402:R402" si="53">SUM(M56)</f>
        <v>15721</v>
      </c>
      <c r="N402" s="33">
        <f t="shared" si="53"/>
        <v>-5235</v>
      </c>
      <c r="O402" s="33">
        <f t="shared" si="53"/>
        <v>10486</v>
      </c>
      <c r="P402" s="33">
        <f t="shared" si="53"/>
        <v>0</v>
      </c>
      <c r="Q402" s="33">
        <f t="shared" si="53"/>
        <v>10486</v>
      </c>
      <c r="R402" s="33">
        <f t="shared" si="53"/>
        <v>0</v>
      </c>
      <c r="S402" s="33">
        <f>SUM(S56)</f>
        <v>10486</v>
      </c>
      <c r="T402" s="33">
        <f>SUM(T56)</f>
        <v>0</v>
      </c>
      <c r="U402" s="33">
        <f>SUM(U56)</f>
        <v>10486</v>
      </c>
      <c r="W402" s="256">
        <v>10486</v>
      </c>
      <c r="X402" s="257">
        <f t="shared" si="43"/>
        <v>0</v>
      </c>
      <c r="Y402" s="258"/>
    </row>
    <row r="403" spans="1:25">
      <c r="A403" s="23" t="s">
        <v>1574</v>
      </c>
      <c r="B403" s="121"/>
      <c r="C403" s="62" t="s">
        <v>1263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>
        <f t="shared" ref="M403:R403" si="54">SUM(M156)</f>
        <v>3135</v>
      </c>
      <c r="N403" s="13">
        <f t="shared" si="54"/>
        <v>0</v>
      </c>
      <c r="O403" s="13">
        <f t="shared" si="54"/>
        <v>3135</v>
      </c>
      <c r="P403" s="13">
        <f t="shared" si="54"/>
        <v>0</v>
      </c>
      <c r="Q403" s="13">
        <f t="shared" si="54"/>
        <v>3135</v>
      </c>
      <c r="R403" s="33">
        <f t="shared" si="54"/>
        <v>0</v>
      </c>
      <c r="S403" s="13">
        <f>SUM(S156)</f>
        <v>3135</v>
      </c>
      <c r="T403" s="13">
        <f>SUM(T156)</f>
        <v>0</v>
      </c>
      <c r="U403" s="13">
        <f>SUM(U156)</f>
        <v>3135</v>
      </c>
      <c r="W403" s="256">
        <v>3135</v>
      </c>
      <c r="X403" s="257">
        <f t="shared" si="43"/>
        <v>0</v>
      </c>
      <c r="Y403" s="258"/>
    </row>
    <row r="404" spans="1:25">
      <c r="A404" s="23"/>
      <c r="B404" s="121"/>
      <c r="C404" s="61" t="s">
        <v>1413</v>
      </c>
      <c r="D404" s="24"/>
      <c r="E404" s="24"/>
      <c r="F404" s="24"/>
      <c r="G404" s="24"/>
      <c r="H404" s="24"/>
      <c r="I404" s="24"/>
      <c r="J404" s="24"/>
      <c r="K404" s="24"/>
      <c r="L404" s="24"/>
      <c r="M404" s="34">
        <f t="shared" ref="M404:S404" si="55">SUM(M392:M403)</f>
        <v>300111</v>
      </c>
      <c r="N404" s="24">
        <f t="shared" si="55"/>
        <v>17855</v>
      </c>
      <c r="O404" s="24">
        <f t="shared" si="55"/>
        <v>317966</v>
      </c>
      <c r="P404" s="24">
        <f t="shared" si="55"/>
        <v>363</v>
      </c>
      <c r="Q404" s="24">
        <f t="shared" si="55"/>
        <v>318329</v>
      </c>
      <c r="R404" s="34">
        <f t="shared" si="55"/>
        <v>4533</v>
      </c>
      <c r="S404" s="24">
        <f t="shared" si="55"/>
        <v>322862</v>
      </c>
      <c r="T404" s="24">
        <f>SUM(T392:T403)</f>
        <v>4795</v>
      </c>
      <c r="U404" s="24">
        <f>SUM(U392:U403)</f>
        <v>327657</v>
      </c>
      <c r="W404" s="256">
        <v>322862</v>
      </c>
      <c r="X404" s="257">
        <f>W404-U404</f>
        <v>-4795</v>
      </c>
      <c r="Y404" s="258"/>
    </row>
    <row r="406" spans="1:25">
      <c r="M406" s="3">
        <f>SUM(D390)</f>
        <v>300111</v>
      </c>
      <c r="N406" s="3">
        <f t="shared" ref="N406:U406" si="56">SUM(E390)</f>
        <v>17855</v>
      </c>
      <c r="O406" s="3">
        <f t="shared" si="56"/>
        <v>317966</v>
      </c>
      <c r="P406" s="3">
        <f t="shared" si="56"/>
        <v>363</v>
      </c>
      <c r="Q406" s="3">
        <f t="shared" si="56"/>
        <v>318329</v>
      </c>
      <c r="R406" s="36">
        <f t="shared" si="56"/>
        <v>4533</v>
      </c>
      <c r="S406" s="3">
        <f t="shared" si="56"/>
        <v>322862</v>
      </c>
      <c r="T406" s="3">
        <f t="shared" si="56"/>
        <v>4795</v>
      </c>
      <c r="U406" s="3">
        <f t="shared" si="56"/>
        <v>327657</v>
      </c>
    </row>
    <row r="407" spans="1:25" ht="19.5" customHeight="1">
      <c r="M407" s="244">
        <f t="shared" ref="M407:U407" si="57">M406-M404</f>
        <v>0</v>
      </c>
      <c r="N407" s="244">
        <f t="shared" si="57"/>
        <v>0</v>
      </c>
      <c r="O407" s="244">
        <f t="shared" si="57"/>
        <v>0</v>
      </c>
      <c r="P407" s="244">
        <f t="shared" si="57"/>
        <v>0</v>
      </c>
      <c r="Q407" s="244">
        <f t="shared" si="57"/>
        <v>0</v>
      </c>
      <c r="R407" s="280">
        <f t="shared" si="57"/>
        <v>0</v>
      </c>
      <c r="S407" s="244">
        <f t="shared" si="57"/>
        <v>0</v>
      </c>
      <c r="T407" s="244">
        <f t="shared" si="57"/>
        <v>0</v>
      </c>
      <c r="U407" s="244">
        <f t="shared" si="57"/>
        <v>0</v>
      </c>
      <c r="V407" s="244"/>
    </row>
  </sheetData>
  <mergeCells count="11">
    <mergeCell ref="C332:U332"/>
    <mergeCell ref="A2:O2"/>
    <mergeCell ref="A3:O3"/>
    <mergeCell ref="A5:A6"/>
    <mergeCell ref="C5:C6"/>
    <mergeCell ref="B5:B6"/>
    <mergeCell ref="D5:L5"/>
    <mergeCell ref="M5:U5"/>
    <mergeCell ref="C41:Q41"/>
    <mergeCell ref="C211:Q211"/>
    <mergeCell ref="C274:Q274"/>
  </mergeCells>
  <phoneticPr fontId="1" type="noConversion"/>
  <pageMargins left="0.74803149606299213" right="0.74803149606299213" top="0.55118110236220474" bottom="0.70866141732283472" header="0.31496062992125984" footer="0.35433070866141736"/>
  <pageSetup paperSize="9" orientation="landscape" blackAndWhite="1" r:id="rId1"/>
  <headerFooter alignWithMargins="0">
    <oddFooter>&amp;C&amp;P</oddFooter>
  </headerFooter>
  <rowBreaks count="1" manualBreakCount="1">
    <brk id="375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7"/>
  <sheetViews>
    <sheetView showRuler="0" topLeftCell="C71" workbookViewId="0">
      <selection activeCell="Z31" sqref="Z31"/>
    </sheetView>
  </sheetViews>
  <sheetFormatPr defaultRowHeight="12.75"/>
  <cols>
    <col min="1" max="1" width="8.5703125" style="74" customWidth="1"/>
    <col min="2" max="2" width="7.42578125" style="124" hidden="1" customWidth="1"/>
    <col min="3" max="3" width="37.5703125" style="1" customWidth="1"/>
    <col min="4" max="4" width="9" style="27" customWidth="1"/>
    <col min="5" max="9" width="9" style="27" hidden="1" customWidth="1"/>
    <col min="10" max="10" width="9.85546875" style="27" customWidth="1"/>
    <col min="11" max="11" width="9" style="27" customWidth="1"/>
    <col min="12" max="12" width="9.85546875" style="27" customWidth="1"/>
    <col min="13" max="13" width="9.140625" style="27" customWidth="1"/>
    <col min="14" max="16" width="9.140625" style="27" hidden="1" customWidth="1"/>
    <col min="17" max="17" width="11.5703125" style="27" hidden="1" customWidth="1"/>
    <col min="18" max="18" width="0" hidden="1" customWidth="1"/>
    <col min="22" max="24" width="0" hidden="1" customWidth="1"/>
  </cols>
  <sheetData>
    <row r="1" spans="1:21" ht="12.75" hidden="1" customHeight="1"/>
    <row r="2" spans="1:21" ht="12.75" hidden="1" customHeight="1"/>
    <row r="3" spans="1:21" hidden="1"/>
    <row r="4" spans="1:21" ht="12.75" hidden="1" customHeight="1">
      <c r="C4" s="46"/>
    </row>
    <row r="5" spans="1:21" ht="12.75" customHeight="1">
      <c r="B5" s="120"/>
      <c r="C5"/>
      <c r="D5" s="3"/>
      <c r="E5" s="3"/>
      <c r="F5" s="3"/>
      <c r="G5" s="3"/>
      <c r="H5" s="3"/>
      <c r="I5" s="3"/>
      <c r="J5" s="3"/>
      <c r="K5" s="3"/>
      <c r="L5" s="3"/>
      <c r="M5" s="93"/>
      <c r="N5" s="93"/>
      <c r="O5" s="93"/>
      <c r="P5" s="93"/>
      <c r="Q5" s="93"/>
      <c r="S5" s="93"/>
      <c r="U5" s="93" t="s">
        <v>1530</v>
      </c>
    </row>
    <row r="6" spans="1:21" ht="12.75" customHeight="1">
      <c r="A6" s="291" t="s">
        <v>1330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</row>
    <row r="7" spans="1:21" ht="12.75" customHeight="1">
      <c r="A7" s="291" t="s">
        <v>700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</row>
    <row r="8" spans="1:21" ht="12.75" customHeight="1">
      <c r="B8" s="120"/>
      <c r="C8" s="4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88"/>
      <c r="P8" s="3"/>
      <c r="Q8" s="75"/>
      <c r="S8" s="74"/>
      <c r="U8" s="211" t="s">
        <v>1432</v>
      </c>
    </row>
    <row r="9" spans="1:21" ht="12.75" customHeight="1">
      <c r="A9" s="299" t="s">
        <v>1421</v>
      </c>
      <c r="B9" s="303" t="s">
        <v>7</v>
      </c>
      <c r="C9" s="301" t="s">
        <v>1431</v>
      </c>
      <c r="D9" s="282" t="s">
        <v>1276</v>
      </c>
      <c r="E9" s="283"/>
      <c r="F9" s="283"/>
      <c r="G9" s="283"/>
      <c r="H9" s="283"/>
      <c r="I9" s="283"/>
      <c r="J9" s="283"/>
      <c r="K9" s="283"/>
      <c r="L9" s="284"/>
      <c r="M9" s="285" t="s">
        <v>1277</v>
      </c>
      <c r="N9" s="286"/>
      <c r="O9" s="286"/>
      <c r="P9" s="286"/>
      <c r="Q9" s="286"/>
      <c r="R9" s="286"/>
      <c r="S9" s="286"/>
      <c r="T9" s="286"/>
      <c r="U9" s="287"/>
    </row>
    <row r="10" spans="1:21" ht="33" customHeight="1">
      <c r="A10" s="300"/>
      <c r="B10" s="304"/>
      <c r="C10" s="302"/>
      <c r="D10" s="238" t="s">
        <v>1278</v>
      </c>
      <c r="E10" s="234" t="s">
        <v>696</v>
      </c>
      <c r="F10" s="234" t="s">
        <v>698</v>
      </c>
      <c r="G10" s="234" t="s">
        <v>696</v>
      </c>
      <c r="H10" s="234" t="s">
        <v>698</v>
      </c>
      <c r="I10" s="234" t="s">
        <v>696</v>
      </c>
      <c r="J10" s="234" t="s">
        <v>698</v>
      </c>
      <c r="K10" s="234" t="s">
        <v>1689</v>
      </c>
      <c r="L10" s="234" t="s">
        <v>698</v>
      </c>
      <c r="M10" s="199" t="s">
        <v>1278</v>
      </c>
      <c r="N10" s="234" t="s">
        <v>696</v>
      </c>
      <c r="O10" s="234" t="s">
        <v>698</v>
      </c>
      <c r="P10" s="234" t="s">
        <v>696</v>
      </c>
      <c r="Q10" s="234" t="s">
        <v>698</v>
      </c>
      <c r="R10" s="234" t="s">
        <v>696</v>
      </c>
      <c r="S10" s="234" t="s">
        <v>698</v>
      </c>
      <c r="T10" s="234" t="s">
        <v>1689</v>
      </c>
      <c r="U10" s="234" t="s">
        <v>698</v>
      </c>
    </row>
    <row r="11" spans="1:21">
      <c r="A11" s="90"/>
      <c r="B11" s="169"/>
      <c r="C11" s="17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>
      <c r="A12" s="189"/>
      <c r="B12" s="213">
        <v>1020</v>
      </c>
      <c r="C12" s="214" t="s">
        <v>66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</row>
    <row r="13" spans="1:21">
      <c r="A13" s="90"/>
      <c r="B13" s="169"/>
      <c r="C13" s="141" t="s">
        <v>1280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123" t="s">
        <v>1442</v>
      </c>
      <c r="B14" s="169"/>
      <c r="C14" s="130" t="s">
        <v>1281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A15" s="90" t="s">
        <v>1439</v>
      </c>
      <c r="B15" s="122"/>
      <c r="C15" s="101" t="s">
        <v>1281</v>
      </c>
      <c r="D15" s="28"/>
      <c r="E15" s="28"/>
      <c r="F15" s="28"/>
      <c r="G15" s="28"/>
      <c r="H15" s="28"/>
      <c r="I15" s="28"/>
      <c r="J15" s="28"/>
      <c r="K15" s="28"/>
      <c r="L15" s="28"/>
      <c r="M15" s="28">
        <v>5</v>
      </c>
      <c r="N15" s="28"/>
      <c r="O15" s="28">
        <f>M15+N15</f>
        <v>5</v>
      </c>
      <c r="P15" s="28"/>
      <c r="Q15" s="28">
        <f>O15+P15</f>
        <v>5</v>
      </c>
      <c r="R15" s="28"/>
      <c r="S15" s="28">
        <f>Q15+R15</f>
        <v>5</v>
      </c>
      <c r="T15" s="28">
        <v>311</v>
      </c>
      <c r="U15" s="28">
        <f>S15+T15</f>
        <v>316</v>
      </c>
    </row>
    <row r="16" spans="1:21">
      <c r="A16" s="90" t="s">
        <v>1451</v>
      </c>
      <c r="B16" s="122"/>
      <c r="C16" s="142" t="s">
        <v>1282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3">
      <c r="A17" s="90" t="s">
        <v>1440</v>
      </c>
      <c r="B17" s="169"/>
      <c r="C17" s="101" t="s">
        <v>1632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3">
      <c r="A18" s="90" t="s">
        <v>1706</v>
      </c>
      <c r="B18" s="169"/>
      <c r="C18" s="101" t="s">
        <v>1707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2</v>
      </c>
      <c r="U18" s="28">
        <f>S18+T18</f>
        <v>2</v>
      </c>
    </row>
    <row r="19" spans="1:23">
      <c r="A19" s="123" t="s">
        <v>1441</v>
      </c>
      <c r="B19" s="169"/>
      <c r="C19" s="130" t="s">
        <v>1292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3">
      <c r="A20" s="90" t="s">
        <v>1433</v>
      </c>
      <c r="B20" s="169"/>
      <c r="C20" s="142" t="s">
        <v>1293</v>
      </c>
      <c r="D20" s="28">
        <v>4026</v>
      </c>
      <c r="E20" s="33"/>
      <c r="F20" s="28">
        <f>D20+E20</f>
        <v>4026</v>
      </c>
      <c r="G20" s="28"/>
      <c r="H20" s="28">
        <f>F20+G20</f>
        <v>4026</v>
      </c>
      <c r="I20" s="28">
        <f>501-484</f>
        <v>17</v>
      </c>
      <c r="J20" s="28">
        <f>H20+I20</f>
        <v>4043</v>
      </c>
      <c r="K20" s="28">
        <v>547</v>
      </c>
      <c r="L20" s="28">
        <f>J20+K20</f>
        <v>4590</v>
      </c>
      <c r="M20" s="28"/>
      <c r="N20" s="28"/>
      <c r="O20" s="28"/>
      <c r="P20" s="28"/>
      <c r="Q20" s="28"/>
      <c r="R20" s="28"/>
      <c r="S20" s="28"/>
      <c r="T20" s="28"/>
      <c r="U20" s="28"/>
      <c r="V20">
        <v>4590</v>
      </c>
    </row>
    <row r="21" spans="1:23" ht="17.25" customHeight="1">
      <c r="A21" s="90" t="s">
        <v>1434</v>
      </c>
      <c r="B21" s="169"/>
      <c r="C21" s="101" t="s">
        <v>1435</v>
      </c>
      <c r="D21" s="28">
        <v>1060</v>
      </c>
      <c r="E21" s="33"/>
      <c r="F21" s="28">
        <f>D21+E21</f>
        <v>1060</v>
      </c>
      <c r="G21" s="28"/>
      <c r="H21" s="28">
        <f>F21+G21</f>
        <v>1060</v>
      </c>
      <c r="I21" s="28">
        <f>136+1</f>
        <v>137</v>
      </c>
      <c r="J21" s="28">
        <f>H21+I21</f>
        <v>1197</v>
      </c>
      <c r="K21" s="28">
        <v>14</v>
      </c>
      <c r="L21" s="28">
        <f>J21+K21</f>
        <v>1211</v>
      </c>
      <c r="M21" s="28"/>
      <c r="N21" s="28"/>
      <c r="O21" s="28"/>
      <c r="P21" s="28"/>
      <c r="Q21" s="28"/>
      <c r="R21" s="28"/>
      <c r="S21" s="28"/>
      <c r="T21" s="28"/>
      <c r="U21" s="28"/>
      <c r="V21">
        <v>1211</v>
      </c>
    </row>
    <row r="22" spans="1:23">
      <c r="A22" s="90" t="s">
        <v>1454</v>
      </c>
      <c r="B22" s="169"/>
      <c r="C22" s="142" t="s">
        <v>1294</v>
      </c>
      <c r="D22" s="28">
        <v>604</v>
      </c>
      <c r="E22" s="33">
        <v>55</v>
      </c>
      <c r="F22" s="28">
        <f>D22+E22</f>
        <v>659</v>
      </c>
      <c r="G22" s="28"/>
      <c r="H22" s="28">
        <f>F22+G22</f>
        <v>659</v>
      </c>
      <c r="I22" s="28">
        <v>483</v>
      </c>
      <c r="J22" s="28">
        <f>H22+I22</f>
        <v>1142</v>
      </c>
      <c r="K22" s="33">
        <v>898</v>
      </c>
      <c r="L22" s="28">
        <f>J22+K22</f>
        <v>2040</v>
      </c>
      <c r="M22" s="28"/>
      <c r="N22" s="28"/>
      <c r="O22" s="28"/>
      <c r="P22" s="28"/>
      <c r="Q22" s="28"/>
      <c r="R22" s="28"/>
      <c r="S22" s="28"/>
      <c r="T22" s="28"/>
      <c r="U22" s="28"/>
      <c r="V22">
        <v>716</v>
      </c>
    </row>
    <row r="23" spans="1:23">
      <c r="A23" s="90" t="s">
        <v>1436</v>
      </c>
      <c r="B23" s="169"/>
      <c r="C23" s="101" t="s">
        <v>1437</v>
      </c>
      <c r="D23" s="28">
        <v>435</v>
      </c>
      <c r="E23" s="28"/>
      <c r="F23" s="28">
        <f>D23+E23</f>
        <v>435</v>
      </c>
      <c r="G23" s="28"/>
      <c r="H23" s="28">
        <f>F23+G23</f>
        <v>435</v>
      </c>
      <c r="I23" s="28"/>
      <c r="J23" s="28">
        <f>H23+I23</f>
        <v>435</v>
      </c>
      <c r="K23" s="33">
        <v>-263</v>
      </c>
      <c r="L23" s="28">
        <f>J23+K23</f>
        <v>172</v>
      </c>
      <c r="M23" s="28"/>
      <c r="N23" s="28"/>
      <c r="O23" s="28"/>
      <c r="P23" s="28"/>
      <c r="Q23" s="28"/>
      <c r="R23" s="28"/>
      <c r="S23" s="28"/>
      <c r="T23" s="28"/>
      <c r="U23" s="28"/>
    </row>
    <row r="24" spans="1:23">
      <c r="A24" s="90"/>
      <c r="B24" s="169"/>
      <c r="C24" s="130" t="s">
        <v>1318</v>
      </c>
      <c r="D24" s="30">
        <f t="shared" ref="D24:J24" si="0">SUM(D20:D23)</f>
        <v>6125</v>
      </c>
      <c r="E24" s="30">
        <f t="shared" si="0"/>
        <v>55</v>
      </c>
      <c r="F24" s="30">
        <f t="shared" si="0"/>
        <v>6180</v>
      </c>
      <c r="G24" s="30">
        <f t="shared" si="0"/>
        <v>0</v>
      </c>
      <c r="H24" s="30">
        <f t="shared" si="0"/>
        <v>6180</v>
      </c>
      <c r="I24" s="30">
        <f t="shared" si="0"/>
        <v>637</v>
      </c>
      <c r="J24" s="30">
        <f t="shared" si="0"/>
        <v>6817</v>
      </c>
      <c r="K24" s="30">
        <f>SUM(K20:K23)</f>
        <v>1196</v>
      </c>
      <c r="L24" s="30">
        <f>SUM(L20:L23)</f>
        <v>8013</v>
      </c>
      <c r="M24" s="30">
        <f>SUM(M15:M23)</f>
        <v>5</v>
      </c>
      <c r="N24" s="30">
        <f>SUM(N15:N23)</f>
        <v>0</v>
      </c>
      <c r="O24" s="30">
        <f>SUM(O15:O23)</f>
        <v>5</v>
      </c>
      <c r="P24" s="30"/>
      <c r="Q24" s="30">
        <f>SUM(Q15:Q23)</f>
        <v>5</v>
      </c>
      <c r="R24" s="30"/>
      <c r="S24" s="30">
        <f>SUM(S15:S23)</f>
        <v>5</v>
      </c>
      <c r="T24" s="30">
        <f>SUM(T15:T23)</f>
        <v>313</v>
      </c>
      <c r="U24" s="30">
        <f>SUM(U15:U23)</f>
        <v>318</v>
      </c>
    </row>
    <row r="25" spans="1:23">
      <c r="A25" s="90"/>
      <c r="B25" s="169"/>
      <c r="C25" s="1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3">
      <c r="A26" s="189"/>
      <c r="B26" s="213" t="s">
        <v>32</v>
      </c>
      <c r="C26" s="214" t="s">
        <v>67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</row>
    <row r="27" spans="1:23">
      <c r="A27" s="90"/>
      <c r="B27" s="169"/>
      <c r="C27" s="148" t="s">
        <v>1280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3">
      <c r="A28" s="123" t="s">
        <v>1442</v>
      </c>
      <c r="B28" s="169"/>
      <c r="C28" s="130" t="s">
        <v>1281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3">
      <c r="A29" s="90" t="s">
        <v>1439</v>
      </c>
      <c r="B29" s="122"/>
      <c r="C29" s="101" t="s">
        <v>1281</v>
      </c>
      <c r="D29" s="28"/>
      <c r="E29" s="28"/>
      <c r="F29" s="28"/>
      <c r="G29" s="28"/>
      <c r="H29" s="28"/>
      <c r="I29" s="28"/>
      <c r="J29" s="28"/>
      <c r="K29" s="28"/>
      <c r="L29" s="28"/>
      <c r="M29" s="28">
        <v>1573</v>
      </c>
      <c r="N29" s="28"/>
      <c r="O29" s="28">
        <f>M29+N29</f>
        <v>1573</v>
      </c>
      <c r="P29" s="28"/>
      <c r="Q29" s="28">
        <f>O29+P29</f>
        <v>1573</v>
      </c>
      <c r="R29" s="28"/>
      <c r="S29" s="28">
        <f>Q29+R29</f>
        <v>1573</v>
      </c>
      <c r="T29" s="28">
        <v>-1573</v>
      </c>
      <c r="U29" s="28">
        <f>S29+T29</f>
        <v>0</v>
      </c>
    </row>
    <row r="30" spans="1:23">
      <c r="A30" s="90" t="s">
        <v>1451</v>
      </c>
      <c r="B30" s="122"/>
      <c r="C30" s="142" t="s">
        <v>1282</v>
      </c>
      <c r="D30" s="28"/>
      <c r="E30" s="28"/>
      <c r="F30" s="28"/>
      <c r="G30" s="28"/>
      <c r="H30" s="28"/>
      <c r="I30" s="28"/>
      <c r="J30" s="28"/>
      <c r="K30" s="28"/>
      <c r="L30" s="28"/>
      <c r="M30" s="28">
        <v>469</v>
      </c>
      <c r="N30" s="28"/>
      <c r="O30" s="28">
        <f>M30+N30</f>
        <v>469</v>
      </c>
      <c r="P30" s="28"/>
      <c r="Q30" s="28">
        <f>O30+P30</f>
        <v>469</v>
      </c>
      <c r="R30" s="28"/>
      <c r="S30" s="28">
        <f>Q30+R30</f>
        <v>469</v>
      </c>
      <c r="T30" s="28">
        <f>-415+114</f>
        <v>-301</v>
      </c>
      <c r="U30" s="28">
        <f>S30+T30</f>
        <v>168</v>
      </c>
      <c r="V30">
        <v>114</v>
      </c>
      <c r="W30" s="165" t="s">
        <v>1710</v>
      </c>
    </row>
    <row r="31" spans="1:23">
      <c r="A31" s="90" t="s">
        <v>1440</v>
      </c>
      <c r="B31" s="169"/>
      <c r="C31" s="101" t="s">
        <v>1632</v>
      </c>
      <c r="D31" s="28"/>
      <c r="E31" s="28"/>
      <c r="F31" s="28"/>
      <c r="G31" s="28"/>
      <c r="H31" s="28"/>
      <c r="I31" s="28"/>
      <c r="J31" s="28"/>
      <c r="K31" s="28"/>
      <c r="L31" s="28"/>
      <c r="M31" s="28">
        <v>163</v>
      </c>
      <c r="N31" s="28"/>
      <c r="O31" s="28">
        <f>M31+N31</f>
        <v>163</v>
      </c>
      <c r="P31" s="28"/>
      <c r="Q31" s="28">
        <f>O31+P31</f>
        <v>163</v>
      </c>
      <c r="R31" s="28"/>
      <c r="S31" s="28">
        <f>Q31+R31</f>
        <v>163</v>
      </c>
      <c r="T31" s="28">
        <v>2022</v>
      </c>
      <c r="U31" s="28">
        <f>S31+T31</f>
        <v>2185</v>
      </c>
    </row>
    <row r="32" spans="1:23">
      <c r="A32" s="90" t="s">
        <v>1706</v>
      </c>
      <c r="B32" s="169"/>
      <c r="C32" s="101" t="s">
        <v>1708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3">
        <v>420</v>
      </c>
      <c r="U32" s="28">
        <f>S32+T32</f>
        <v>420</v>
      </c>
    </row>
    <row r="33" spans="1:22">
      <c r="A33" s="123" t="s">
        <v>1441</v>
      </c>
      <c r="B33" s="169"/>
      <c r="C33" s="130" t="s">
        <v>1292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2">
      <c r="A34" s="90" t="s">
        <v>1454</v>
      </c>
      <c r="B34" s="169"/>
      <c r="C34" s="142" t="s">
        <v>1294</v>
      </c>
      <c r="D34" s="28">
        <v>3105</v>
      </c>
      <c r="E34" s="28"/>
      <c r="F34" s="28">
        <f>D34+E34</f>
        <v>3105</v>
      </c>
      <c r="G34" s="28"/>
      <c r="H34" s="28">
        <f>F34+G34</f>
        <v>3105</v>
      </c>
      <c r="I34" s="28"/>
      <c r="J34" s="28">
        <f>F34+G34</f>
        <v>3105</v>
      </c>
      <c r="K34" s="28"/>
      <c r="L34" s="28">
        <f>H34+I34</f>
        <v>3105</v>
      </c>
      <c r="M34" s="28"/>
      <c r="N34" s="28"/>
      <c r="O34" s="28"/>
      <c r="P34" s="28"/>
      <c r="Q34" s="28"/>
      <c r="R34" s="28"/>
      <c r="S34" s="28"/>
      <c r="T34" s="28"/>
      <c r="U34" s="28"/>
    </row>
    <row r="35" spans="1:22">
      <c r="A35" s="90" t="s">
        <v>1436</v>
      </c>
      <c r="B35" s="169"/>
      <c r="C35" s="101" t="s">
        <v>1437</v>
      </c>
      <c r="D35" s="28">
        <v>1148</v>
      </c>
      <c r="E35" s="28"/>
      <c r="F35" s="28">
        <f>D35+E35</f>
        <v>1148</v>
      </c>
      <c r="G35" s="28"/>
      <c r="H35" s="28">
        <f>F35+G35</f>
        <v>1148</v>
      </c>
      <c r="I35" s="28"/>
      <c r="J35" s="28">
        <f>F35+G35</f>
        <v>1148</v>
      </c>
      <c r="K35" s="28"/>
      <c r="L35" s="28">
        <f>H35+I35</f>
        <v>1148</v>
      </c>
      <c r="M35" s="28"/>
      <c r="N35" s="28"/>
      <c r="O35" s="28"/>
      <c r="P35" s="28"/>
      <c r="Q35" s="28"/>
      <c r="R35" s="28"/>
      <c r="S35" s="28"/>
      <c r="T35" s="28"/>
      <c r="U35" s="28"/>
    </row>
    <row r="36" spans="1:22">
      <c r="A36" s="90"/>
      <c r="B36" s="169"/>
      <c r="C36" s="130" t="s">
        <v>1318</v>
      </c>
      <c r="D36" s="30">
        <f t="shared" ref="D36:J36" si="1">SUM(D34:D35)</f>
        <v>4253</v>
      </c>
      <c r="E36" s="30">
        <f t="shared" si="1"/>
        <v>0</v>
      </c>
      <c r="F36" s="30">
        <f t="shared" si="1"/>
        <v>4253</v>
      </c>
      <c r="G36" s="30">
        <f t="shared" si="1"/>
        <v>0</v>
      </c>
      <c r="H36" s="30">
        <f t="shared" si="1"/>
        <v>4253</v>
      </c>
      <c r="I36" s="30">
        <f t="shared" si="1"/>
        <v>0</v>
      </c>
      <c r="J36" s="30">
        <f t="shared" si="1"/>
        <v>4253</v>
      </c>
      <c r="K36" s="30">
        <f>SUM(K34:K35)</f>
        <v>0</v>
      </c>
      <c r="L36" s="30">
        <f>SUM(L34:L35)</f>
        <v>4253</v>
      </c>
      <c r="M36" s="30">
        <f>SUM(M29:M35)</f>
        <v>2205</v>
      </c>
      <c r="N36" s="30">
        <f>SUM(N29:N35)</f>
        <v>0</v>
      </c>
      <c r="O36" s="30">
        <f>SUM(O29:O35)</f>
        <v>2205</v>
      </c>
      <c r="P36" s="30"/>
      <c r="Q36" s="30">
        <f>SUM(Q29:Q35)</f>
        <v>2205</v>
      </c>
      <c r="R36" s="30"/>
      <c r="S36" s="30">
        <f>SUM(S29:S35)</f>
        <v>2205</v>
      </c>
      <c r="T36" s="30">
        <f>SUM(T29:T35)</f>
        <v>568</v>
      </c>
      <c r="U36" s="30">
        <f>SUM(U29:U35)</f>
        <v>2773</v>
      </c>
    </row>
    <row r="37" spans="1:22">
      <c r="A37" s="90"/>
      <c r="B37" s="169"/>
      <c r="C37" s="1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2">
      <c r="A38" s="189"/>
      <c r="B38" s="213" t="s">
        <v>32</v>
      </c>
      <c r="C38" s="214" t="s">
        <v>68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</row>
    <row r="39" spans="1:22">
      <c r="A39" s="90"/>
      <c r="B39" s="169"/>
      <c r="C39" s="141" t="s">
        <v>1280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2">
      <c r="A40" s="123" t="s">
        <v>1442</v>
      </c>
      <c r="B40" s="169"/>
      <c r="C40" s="130" t="s">
        <v>1281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2">
      <c r="A41" s="90" t="s">
        <v>1439</v>
      </c>
      <c r="B41" s="122"/>
      <c r="C41" s="101" t="s">
        <v>1281</v>
      </c>
      <c r="D41" s="28"/>
      <c r="E41" s="28"/>
      <c r="F41" s="28"/>
      <c r="G41" s="28"/>
      <c r="H41" s="28"/>
      <c r="I41" s="28"/>
      <c r="J41" s="28"/>
      <c r="K41" s="28"/>
      <c r="L41" s="28"/>
      <c r="M41" s="28">
        <v>361</v>
      </c>
      <c r="N41" s="28"/>
      <c r="O41" s="28">
        <f>M41+N41</f>
        <v>361</v>
      </c>
      <c r="P41" s="28"/>
      <c r="Q41" s="28">
        <f>O41+P41</f>
        <v>361</v>
      </c>
      <c r="R41" s="28"/>
      <c r="S41" s="28">
        <f>Q41+R41</f>
        <v>361</v>
      </c>
      <c r="T41" s="28">
        <v>-361</v>
      </c>
      <c r="U41" s="28">
        <f>S41+T41</f>
        <v>0</v>
      </c>
    </row>
    <row r="42" spans="1:22">
      <c r="A42" s="90" t="s">
        <v>1451</v>
      </c>
      <c r="B42" s="122"/>
      <c r="C42" s="142" t="s">
        <v>1282</v>
      </c>
      <c r="D42" s="28"/>
      <c r="E42" s="28"/>
      <c r="F42" s="28"/>
      <c r="G42" s="28"/>
      <c r="H42" s="28"/>
      <c r="I42" s="28"/>
      <c r="J42" s="28"/>
      <c r="K42" s="28"/>
      <c r="L42" s="28"/>
      <c r="M42" s="28">
        <v>98</v>
      </c>
      <c r="N42" s="28"/>
      <c r="O42" s="28">
        <f>M42+N42</f>
        <v>98</v>
      </c>
      <c r="P42" s="28"/>
      <c r="Q42" s="28">
        <f>O42+P42</f>
        <v>98</v>
      </c>
      <c r="R42" s="28"/>
      <c r="S42" s="28">
        <f>Q42+R42</f>
        <v>98</v>
      </c>
      <c r="T42" s="28">
        <v>-93</v>
      </c>
      <c r="U42" s="28">
        <f>S42+T42</f>
        <v>5</v>
      </c>
    </row>
    <row r="43" spans="1:22">
      <c r="A43" s="90" t="s">
        <v>1440</v>
      </c>
      <c r="B43" s="169"/>
      <c r="C43" s="101" t="s">
        <v>1632</v>
      </c>
      <c r="D43" s="28"/>
      <c r="E43" s="28"/>
      <c r="F43" s="28"/>
      <c r="G43" s="28"/>
      <c r="H43" s="28"/>
      <c r="I43" s="28"/>
      <c r="J43" s="28"/>
      <c r="K43" s="28"/>
      <c r="L43" s="28"/>
      <c r="M43" s="28">
        <v>15</v>
      </c>
      <c r="N43" s="28"/>
      <c r="O43" s="28">
        <f>M43+N43</f>
        <v>15</v>
      </c>
      <c r="P43" s="28"/>
      <c r="Q43" s="28">
        <f>O43+P43</f>
        <v>15</v>
      </c>
      <c r="R43" s="28"/>
      <c r="S43" s="28">
        <f>Q43+R43</f>
        <v>15</v>
      </c>
      <c r="T43" s="28">
        <v>694</v>
      </c>
      <c r="U43" s="28">
        <f>S43+T43</f>
        <v>709</v>
      </c>
    </row>
    <row r="44" spans="1:22">
      <c r="A44" s="123" t="s">
        <v>1441</v>
      </c>
      <c r="B44" s="169"/>
      <c r="C44" s="130" t="s">
        <v>1292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2">
      <c r="A45" s="90" t="s">
        <v>1433</v>
      </c>
      <c r="B45" s="169"/>
      <c r="C45" s="142" t="s">
        <v>1293</v>
      </c>
      <c r="D45" s="28">
        <v>2922</v>
      </c>
      <c r="E45" s="28"/>
      <c r="F45" s="28">
        <f>D45+E45</f>
        <v>2922</v>
      </c>
      <c r="G45" s="28"/>
      <c r="H45" s="28">
        <f>F45+G45</f>
        <v>2922</v>
      </c>
      <c r="I45" s="28"/>
      <c r="J45" s="28">
        <f>F45+G45</f>
        <v>2922</v>
      </c>
      <c r="K45" s="28">
        <v>323</v>
      </c>
      <c r="L45" s="28">
        <f>J45+K45</f>
        <v>3245</v>
      </c>
      <c r="M45" s="28"/>
      <c r="N45" s="28"/>
      <c r="O45" s="28"/>
      <c r="P45" s="28"/>
      <c r="Q45" s="28"/>
      <c r="R45" s="28"/>
      <c r="S45" s="28"/>
      <c r="T45" s="28"/>
      <c r="U45" s="28"/>
      <c r="V45">
        <v>3245</v>
      </c>
    </row>
    <row r="46" spans="1:22">
      <c r="A46" s="90" t="s">
        <v>1434</v>
      </c>
      <c r="B46" s="169"/>
      <c r="C46" s="101" t="s">
        <v>1435</v>
      </c>
      <c r="D46" s="28">
        <v>789</v>
      </c>
      <c r="E46" s="28"/>
      <c r="F46" s="28">
        <f>D46+E46</f>
        <v>789</v>
      </c>
      <c r="G46" s="28"/>
      <c r="H46" s="28">
        <f>F46+G46</f>
        <v>789</v>
      </c>
      <c r="I46" s="28"/>
      <c r="J46" s="28">
        <f>F46+G46</f>
        <v>789</v>
      </c>
      <c r="K46" s="28">
        <v>90</v>
      </c>
      <c r="L46" s="28">
        <f>J46+K46</f>
        <v>879</v>
      </c>
      <c r="M46" s="28"/>
      <c r="N46" s="28"/>
      <c r="O46" s="28"/>
      <c r="P46" s="28"/>
      <c r="Q46" s="28"/>
      <c r="R46" s="28"/>
      <c r="S46" s="28"/>
      <c r="T46" s="28"/>
      <c r="U46" s="28"/>
      <c r="V46">
        <v>879</v>
      </c>
    </row>
    <row r="47" spans="1:22">
      <c r="A47" s="90" t="s">
        <v>1454</v>
      </c>
      <c r="B47" s="169"/>
      <c r="C47" s="142" t="s">
        <v>1294</v>
      </c>
      <c r="D47" s="28">
        <v>10</v>
      </c>
      <c r="E47" s="28"/>
      <c r="F47" s="28">
        <f>D47+E47</f>
        <v>10</v>
      </c>
      <c r="G47" s="28"/>
      <c r="H47" s="28">
        <f>F47+G47</f>
        <v>10</v>
      </c>
      <c r="I47" s="28"/>
      <c r="J47" s="28">
        <f>F47+G47</f>
        <v>10</v>
      </c>
      <c r="K47" s="28"/>
      <c r="L47" s="28">
        <f>H47+I47</f>
        <v>10</v>
      </c>
      <c r="M47" s="28"/>
      <c r="N47" s="28"/>
      <c r="O47" s="28"/>
      <c r="P47" s="28"/>
      <c r="Q47" s="28"/>
      <c r="R47" s="28"/>
      <c r="S47" s="28"/>
      <c r="T47" s="28"/>
      <c r="U47" s="28"/>
    </row>
    <row r="48" spans="1:22">
      <c r="A48" s="90" t="s">
        <v>1436</v>
      </c>
      <c r="B48" s="169"/>
      <c r="C48" s="101" t="s">
        <v>1437</v>
      </c>
      <c r="D48" s="28">
        <v>3</v>
      </c>
      <c r="E48" s="28"/>
      <c r="F48" s="28">
        <f>D48+E48</f>
        <v>3</v>
      </c>
      <c r="G48" s="28"/>
      <c r="H48" s="28">
        <f>F48+G48</f>
        <v>3</v>
      </c>
      <c r="I48" s="28"/>
      <c r="J48" s="28">
        <f>F48+G48</f>
        <v>3</v>
      </c>
      <c r="K48" s="28"/>
      <c r="L48" s="28">
        <f>H48+I48</f>
        <v>3</v>
      </c>
      <c r="M48" s="28"/>
      <c r="N48" s="28"/>
      <c r="O48" s="28"/>
      <c r="P48" s="28"/>
      <c r="Q48" s="28"/>
      <c r="R48" s="28"/>
      <c r="S48" s="28"/>
      <c r="T48" s="28"/>
      <c r="U48" s="28"/>
    </row>
    <row r="49" spans="1:22">
      <c r="A49" s="90"/>
      <c r="B49" s="169"/>
      <c r="C49" s="130" t="s">
        <v>1318</v>
      </c>
      <c r="D49" s="30">
        <f t="shared" ref="D49:J49" si="2">SUM(D45:D48)</f>
        <v>3724</v>
      </c>
      <c r="E49" s="30">
        <f t="shared" si="2"/>
        <v>0</v>
      </c>
      <c r="F49" s="30">
        <f t="shared" si="2"/>
        <v>3724</v>
      </c>
      <c r="G49" s="30">
        <f t="shared" si="2"/>
        <v>0</v>
      </c>
      <c r="H49" s="30">
        <f t="shared" si="2"/>
        <v>3724</v>
      </c>
      <c r="I49" s="30">
        <f t="shared" si="2"/>
        <v>0</v>
      </c>
      <c r="J49" s="30">
        <f t="shared" si="2"/>
        <v>3724</v>
      </c>
      <c r="K49" s="30">
        <f>SUM(K45:K48)</f>
        <v>413</v>
      </c>
      <c r="L49" s="30">
        <f>SUM(L45:L48)</f>
        <v>4137</v>
      </c>
      <c r="M49" s="30">
        <f>SUM(M41:M48)</f>
        <v>474</v>
      </c>
      <c r="N49" s="30">
        <f>SUM(N41:N48)</f>
        <v>0</v>
      </c>
      <c r="O49" s="30">
        <f>SUM(O41:O48)</f>
        <v>474</v>
      </c>
      <c r="P49" s="30"/>
      <c r="Q49" s="30">
        <f>SUM(Q41:Q48)</f>
        <v>474</v>
      </c>
      <c r="R49" s="30"/>
      <c r="S49" s="30">
        <f>SUM(S41:S48)</f>
        <v>474</v>
      </c>
      <c r="T49" s="30">
        <f>SUM(T41:T48)</f>
        <v>240</v>
      </c>
      <c r="U49" s="30">
        <f>SUM(U41:U48)</f>
        <v>714</v>
      </c>
    </row>
    <row r="50" spans="1:22">
      <c r="A50" s="90"/>
      <c r="B50" s="169"/>
      <c r="C50" s="1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2">
      <c r="A51" s="189"/>
      <c r="B51" s="213" t="s">
        <v>32</v>
      </c>
      <c r="C51" s="214" t="s">
        <v>69</v>
      </c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</row>
    <row r="52" spans="1:22">
      <c r="A52" s="90"/>
      <c r="B52" s="169"/>
      <c r="C52" s="141" t="s">
        <v>1280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2">
      <c r="A53" s="123" t="s">
        <v>1441</v>
      </c>
      <c r="B53" s="169"/>
      <c r="C53" s="130" t="s">
        <v>1292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2">
      <c r="A54" s="90" t="s">
        <v>1433</v>
      </c>
      <c r="B54" s="169"/>
      <c r="C54" s="142" t="s">
        <v>1293</v>
      </c>
      <c r="D54" s="28">
        <v>1472</v>
      </c>
      <c r="E54" s="28"/>
      <c r="F54" s="28">
        <f>D54+E54</f>
        <v>1472</v>
      </c>
      <c r="G54" s="28"/>
      <c r="H54" s="28">
        <f>F54+G54</f>
        <v>1472</v>
      </c>
      <c r="I54" s="28"/>
      <c r="J54" s="28">
        <f>F54+G54</f>
        <v>1472</v>
      </c>
      <c r="K54" s="28">
        <f>V54-J54</f>
        <v>384</v>
      </c>
      <c r="L54" s="28">
        <f>J54+K54</f>
        <v>1856</v>
      </c>
      <c r="M54" s="28"/>
      <c r="N54" s="28"/>
      <c r="O54" s="28"/>
      <c r="P54" s="28"/>
      <c r="Q54" s="28"/>
      <c r="R54" s="28"/>
      <c r="S54" s="28"/>
      <c r="T54" s="28"/>
      <c r="U54" s="28"/>
      <c r="V54">
        <v>1856</v>
      </c>
    </row>
    <row r="55" spans="1:22">
      <c r="A55" s="90" t="s">
        <v>1434</v>
      </c>
      <c r="B55" s="169"/>
      <c r="C55" s="101" t="s">
        <v>1435</v>
      </c>
      <c r="D55" s="28">
        <v>397</v>
      </c>
      <c r="E55" s="28"/>
      <c r="F55" s="28">
        <f>D55+E55</f>
        <v>397</v>
      </c>
      <c r="G55" s="28"/>
      <c r="H55" s="28">
        <f>F55+G55</f>
        <v>397</v>
      </c>
      <c r="I55" s="28"/>
      <c r="J55" s="28">
        <f>F55+G55</f>
        <v>397</v>
      </c>
      <c r="K55" s="28">
        <v>134</v>
      </c>
      <c r="L55" s="28">
        <f>J55+K55</f>
        <v>531</v>
      </c>
      <c r="M55" s="28"/>
      <c r="N55" s="28"/>
      <c r="O55" s="28"/>
      <c r="P55" s="28"/>
      <c r="Q55" s="28"/>
      <c r="R55" s="28"/>
      <c r="S55" s="28"/>
      <c r="T55" s="28"/>
      <c r="U55" s="28"/>
      <c r="V55">
        <v>531</v>
      </c>
    </row>
    <row r="56" spans="1:22">
      <c r="A56" s="90" t="s">
        <v>1454</v>
      </c>
      <c r="B56" s="169"/>
      <c r="C56" s="142" t="s">
        <v>1294</v>
      </c>
      <c r="D56" s="28">
        <v>792</v>
      </c>
      <c r="E56" s="28"/>
      <c r="F56" s="28">
        <f>D56+E56</f>
        <v>792</v>
      </c>
      <c r="G56" s="28"/>
      <c r="H56" s="28">
        <f>F56+G56</f>
        <v>792</v>
      </c>
      <c r="I56" s="28"/>
      <c r="J56" s="28">
        <f>F56+G56</f>
        <v>792</v>
      </c>
      <c r="K56" s="28"/>
      <c r="L56" s="28">
        <f>J56+K56</f>
        <v>792</v>
      </c>
      <c r="M56" s="28"/>
      <c r="N56" s="28"/>
      <c r="O56" s="28"/>
      <c r="P56" s="28"/>
      <c r="Q56" s="28"/>
      <c r="R56" s="28"/>
      <c r="S56" s="28"/>
      <c r="T56" s="28"/>
      <c r="U56" s="28"/>
    </row>
    <row r="57" spans="1:22">
      <c r="A57" s="90" t="s">
        <v>1436</v>
      </c>
      <c r="B57" s="169"/>
      <c r="C57" s="101" t="s">
        <v>1437</v>
      </c>
      <c r="D57" s="28">
        <v>83</v>
      </c>
      <c r="E57" s="28"/>
      <c r="F57" s="28">
        <f>D57+E57</f>
        <v>83</v>
      </c>
      <c r="G57" s="28"/>
      <c r="H57" s="28">
        <f>F57+G57</f>
        <v>83</v>
      </c>
      <c r="I57" s="28"/>
      <c r="J57" s="28">
        <f>F57+G57</f>
        <v>83</v>
      </c>
      <c r="K57" s="28"/>
      <c r="L57" s="28">
        <f>J57+K57</f>
        <v>83</v>
      </c>
      <c r="M57" s="28"/>
      <c r="N57" s="28"/>
      <c r="O57" s="28"/>
      <c r="P57" s="28"/>
      <c r="Q57" s="28"/>
      <c r="R57" s="28"/>
      <c r="S57" s="28"/>
      <c r="T57" s="28"/>
      <c r="U57" s="28"/>
    </row>
    <row r="58" spans="1:22">
      <c r="A58" s="90"/>
      <c r="B58" s="169"/>
      <c r="C58" s="130" t="s">
        <v>1318</v>
      </c>
      <c r="D58" s="30">
        <f t="shared" ref="D58:O58" si="3">SUM(D54:D57)</f>
        <v>2744</v>
      </c>
      <c r="E58" s="30">
        <f t="shared" si="3"/>
        <v>0</v>
      </c>
      <c r="F58" s="30">
        <f t="shared" si="3"/>
        <v>2744</v>
      </c>
      <c r="G58" s="30">
        <f t="shared" si="3"/>
        <v>0</v>
      </c>
      <c r="H58" s="30">
        <f>SUM(H54:H57)</f>
        <v>2744</v>
      </c>
      <c r="I58" s="30">
        <f>SUM(I54:I57)</f>
        <v>0</v>
      </c>
      <c r="J58" s="30">
        <f>SUM(J54:J57)</f>
        <v>2744</v>
      </c>
      <c r="K58" s="30">
        <f>SUM(K54:K57)</f>
        <v>518</v>
      </c>
      <c r="L58" s="30">
        <f>SUM(L54:L57)</f>
        <v>3262</v>
      </c>
      <c r="M58" s="30">
        <f t="shared" si="3"/>
        <v>0</v>
      </c>
      <c r="N58" s="30">
        <f t="shared" si="3"/>
        <v>0</v>
      </c>
      <c r="O58" s="30">
        <f t="shared" si="3"/>
        <v>0</v>
      </c>
      <c r="P58" s="30"/>
      <c r="Q58" s="30">
        <f>SUM(Q54:Q57)</f>
        <v>0</v>
      </c>
      <c r="R58" s="30"/>
      <c r="S58" s="30">
        <f>SUM(S54:S57)</f>
        <v>0</v>
      </c>
      <c r="T58" s="30">
        <f>SUM(T54:T57)</f>
        <v>0</v>
      </c>
      <c r="U58" s="30">
        <f>SUM(U54:U57)</f>
        <v>0</v>
      </c>
    </row>
    <row r="59" spans="1:22">
      <c r="A59" s="90"/>
      <c r="B59" s="169"/>
      <c r="C59" s="130"/>
      <c r="D59" s="30"/>
      <c r="E59" s="30"/>
      <c r="F59" s="30"/>
      <c r="G59" s="30"/>
      <c r="H59" s="30"/>
      <c r="I59" s="30"/>
      <c r="J59" s="30"/>
      <c r="K59" s="30"/>
      <c r="L59" s="30"/>
      <c r="M59" s="28"/>
      <c r="N59" s="28"/>
      <c r="O59" s="28"/>
      <c r="P59" s="28"/>
      <c r="Q59" s="28"/>
      <c r="R59" s="28"/>
      <c r="S59" s="28"/>
      <c r="T59" s="28"/>
      <c r="U59" s="28"/>
    </row>
    <row r="60" spans="1:22">
      <c r="A60" s="189"/>
      <c r="B60" s="213" t="s">
        <v>10</v>
      </c>
      <c r="C60" s="214" t="s">
        <v>0</v>
      </c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  <row r="61" spans="1:22">
      <c r="A61" s="123" t="s">
        <v>1442</v>
      </c>
      <c r="B61" s="122"/>
      <c r="C61" s="130" t="s">
        <v>1281</v>
      </c>
      <c r="D61" s="30"/>
      <c r="E61" s="30"/>
      <c r="F61" s="30"/>
      <c r="G61" s="30"/>
      <c r="H61" s="30"/>
      <c r="I61" s="30"/>
      <c r="J61" s="30"/>
      <c r="K61" s="30"/>
      <c r="L61" s="30"/>
      <c r="M61" s="28"/>
      <c r="N61" s="28"/>
      <c r="O61" s="28"/>
      <c r="P61" s="28"/>
      <c r="Q61" s="28"/>
      <c r="R61" s="28"/>
      <c r="S61" s="28"/>
      <c r="T61" s="28"/>
      <c r="U61" s="28"/>
    </row>
    <row r="62" spans="1:22">
      <c r="A62" s="90" t="s">
        <v>1548</v>
      </c>
      <c r="B62" s="122"/>
      <c r="C62" s="147" t="s">
        <v>1281</v>
      </c>
      <c r="D62" s="30"/>
      <c r="E62" s="30"/>
      <c r="F62" s="30"/>
      <c r="G62" s="30"/>
      <c r="H62" s="30"/>
      <c r="I62" s="30"/>
      <c r="J62" s="30"/>
      <c r="K62" s="30"/>
      <c r="L62" s="30"/>
      <c r="M62" s="28">
        <v>340</v>
      </c>
      <c r="N62" s="28"/>
      <c r="O62" s="28">
        <f>M62+N62</f>
        <v>340</v>
      </c>
      <c r="P62" s="28"/>
      <c r="Q62" s="28">
        <f>O62+P62</f>
        <v>340</v>
      </c>
      <c r="R62" s="28"/>
      <c r="S62" s="28">
        <f>Q62+R62</f>
        <v>340</v>
      </c>
      <c r="T62" s="28">
        <v>-340</v>
      </c>
      <c r="U62" s="28">
        <f>S62+T62</f>
        <v>0</v>
      </c>
    </row>
    <row r="63" spans="1:22">
      <c r="A63" s="90" t="s">
        <v>1451</v>
      </c>
      <c r="B63" s="122"/>
      <c r="C63" s="147" t="s">
        <v>1282</v>
      </c>
      <c r="D63" s="30"/>
      <c r="E63" s="30"/>
      <c r="F63" s="30"/>
      <c r="G63" s="30"/>
      <c r="H63" s="30"/>
      <c r="I63" s="30"/>
      <c r="J63" s="30"/>
      <c r="K63" s="30"/>
      <c r="L63" s="30"/>
      <c r="M63" s="28"/>
      <c r="N63" s="28"/>
      <c r="O63" s="28"/>
      <c r="P63" s="28"/>
      <c r="Q63" s="28"/>
      <c r="R63" s="28"/>
      <c r="S63" s="28"/>
      <c r="T63" s="28"/>
      <c r="U63" s="28"/>
    </row>
    <row r="64" spans="1:22">
      <c r="A64" s="90"/>
      <c r="B64" s="122"/>
      <c r="C64" s="130" t="s">
        <v>1318</v>
      </c>
      <c r="D64" s="30"/>
      <c r="E64" s="30"/>
      <c r="F64" s="30"/>
      <c r="G64" s="30"/>
      <c r="H64" s="30"/>
      <c r="I64" s="30"/>
      <c r="J64" s="30"/>
      <c r="K64" s="30"/>
      <c r="L64" s="30"/>
      <c r="M64" s="30">
        <f>SUM(M62:M63)</f>
        <v>340</v>
      </c>
      <c r="N64" s="30">
        <f>SUM(N62:N63)</f>
        <v>0</v>
      </c>
      <c r="O64" s="30">
        <f>SUM(O62:O63)</f>
        <v>340</v>
      </c>
      <c r="P64" s="30"/>
      <c r="Q64" s="30">
        <f>SUM(Q62:Q63)</f>
        <v>340</v>
      </c>
      <c r="R64" s="30"/>
      <c r="S64" s="30">
        <f>SUM(S62:S63)</f>
        <v>340</v>
      </c>
      <c r="T64" s="30">
        <f>SUM(T62:T63)</f>
        <v>-340</v>
      </c>
      <c r="U64" s="30">
        <f>SUM(U62:U63)</f>
        <v>0</v>
      </c>
    </row>
    <row r="65" spans="1:22">
      <c r="A65" s="90"/>
      <c r="B65" s="169"/>
      <c r="C65" s="130"/>
      <c r="D65" s="30"/>
      <c r="E65" s="30"/>
      <c r="F65" s="30"/>
      <c r="G65" s="30"/>
      <c r="H65" s="30"/>
      <c r="I65" s="30"/>
      <c r="J65" s="30"/>
      <c r="K65" s="30"/>
      <c r="L65" s="30"/>
      <c r="M65" s="28"/>
      <c r="N65" s="28"/>
      <c r="O65" s="28"/>
      <c r="P65" s="28"/>
      <c r="Q65" s="28"/>
      <c r="R65" s="28"/>
      <c r="S65" s="28"/>
      <c r="T65" s="28"/>
      <c r="U65" s="28"/>
    </row>
    <row r="66" spans="1:22">
      <c r="A66" s="189"/>
      <c r="B66" s="213" t="s">
        <v>18</v>
      </c>
      <c r="C66" s="214" t="s">
        <v>21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</row>
    <row r="67" spans="1:22">
      <c r="A67" s="90"/>
      <c r="B67" s="169"/>
      <c r="C67" s="141" t="s">
        <v>1280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2">
      <c r="A68" s="123" t="s">
        <v>1442</v>
      </c>
      <c r="B68" s="169"/>
      <c r="C68" s="130" t="s">
        <v>1602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2" ht="23.25" customHeight="1">
      <c r="A69" s="90" t="s">
        <v>1455</v>
      </c>
      <c r="B69" s="169"/>
      <c r="C69" s="131" t="s">
        <v>78</v>
      </c>
      <c r="D69" s="28"/>
      <c r="E69" s="28"/>
      <c r="F69" s="28"/>
      <c r="G69" s="28"/>
      <c r="H69" s="28"/>
      <c r="I69" s="28"/>
      <c r="J69" s="28"/>
      <c r="K69" s="28"/>
      <c r="L69" s="28"/>
      <c r="M69" s="28">
        <v>13822</v>
      </c>
      <c r="N69" s="33"/>
      <c r="O69" s="28">
        <f>M69+N69</f>
        <v>13822</v>
      </c>
      <c r="P69" s="33"/>
      <c r="Q69" s="28">
        <f>O69+P69</f>
        <v>13822</v>
      </c>
      <c r="R69" s="33">
        <v>637</v>
      </c>
      <c r="S69" s="28">
        <f>Q69+R69</f>
        <v>14459</v>
      </c>
      <c r="T69" s="33">
        <v>1346</v>
      </c>
      <c r="U69" s="28">
        <f>S69+T69</f>
        <v>15805</v>
      </c>
      <c r="V69" s="165" t="s">
        <v>1711</v>
      </c>
    </row>
    <row r="70" spans="1:22" ht="15" customHeight="1">
      <c r="A70" s="123" t="s">
        <v>1442</v>
      </c>
      <c r="B70" s="169"/>
      <c r="C70" s="171" t="s">
        <v>1558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3"/>
      <c r="O70" s="28">
        <f>M70+N70</f>
        <v>0</v>
      </c>
      <c r="P70" s="33"/>
      <c r="Q70" s="28">
        <f>O70+P70</f>
        <v>0</v>
      </c>
      <c r="R70" s="33"/>
      <c r="S70" s="28">
        <f>Q70+R70</f>
        <v>0</v>
      </c>
      <c r="T70" s="33"/>
      <c r="U70" s="28">
        <f>S70+T70</f>
        <v>0</v>
      </c>
    </row>
    <row r="71" spans="1:22" ht="21.75" customHeight="1">
      <c r="A71" s="90" t="s">
        <v>1438</v>
      </c>
      <c r="B71" s="169"/>
      <c r="C71" s="131" t="s">
        <v>1325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3">
        <v>55</v>
      </c>
      <c r="O71" s="28">
        <f>M71+N71</f>
        <v>55</v>
      </c>
      <c r="P71" s="33"/>
      <c r="Q71" s="28">
        <f>O71+P71</f>
        <v>55</v>
      </c>
      <c r="R71" s="33"/>
      <c r="S71" s="28">
        <f>Q71+R71</f>
        <v>55</v>
      </c>
      <c r="T71" s="33"/>
      <c r="U71" s="28">
        <f>S71+T71</f>
        <v>55</v>
      </c>
    </row>
    <row r="72" spans="1:22">
      <c r="A72" s="90"/>
      <c r="B72" s="169"/>
      <c r="C72" s="130" t="s">
        <v>1318</v>
      </c>
      <c r="D72" s="30">
        <f t="shared" ref="D72:I72" si="4">SUM(D71)</f>
        <v>0</v>
      </c>
      <c r="E72" s="30">
        <f t="shared" si="4"/>
        <v>0</v>
      </c>
      <c r="F72" s="30">
        <f t="shared" si="4"/>
        <v>0</v>
      </c>
      <c r="G72" s="30">
        <f t="shared" si="4"/>
        <v>0</v>
      </c>
      <c r="H72" s="30">
        <f t="shared" si="4"/>
        <v>0</v>
      </c>
      <c r="I72" s="30">
        <f t="shared" si="4"/>
        <v>0</v>
      </c>
      <c r="J72" s="30">
        <f>H72+I72</f>
        <v>0</v>
      </c>
      <c r="K72" s="30">
        <f>SUM(K71)</f>
        <v>0</v>
      </c>
      <c r="L72" s="30">
        <f>J72+K72</f>
        <v>0</v>
      </c>
      <c r="M72" s="30">
        <f>SUM(M69:M71)</f>
        <v>13822</v>
      </c>
      <c r="N72" s="30">
        <f>SUM(N69:N71)</f>
        <v>55</v>
      </c>
      <c r="O72" s="30">
        <f>SUM(O69:O71)</f>
        <v>13877</v>
      </c>
      <c r="P72" s="30"/>
      <c r="Q72" s="30">
        <f>SUM(Q69:Q71)</f>
        <v>13877</v>
      </c>
      <c r="R72" s="30">
        <f>SUM(R69:R71)</f>
        <v>637</v>
      </c>
      <c r="S72" s="30">
        <f>SUM(S69:S71)</f>
        <v>14514</v>
      </c>
      <c r="T72" s="30">
        <f>SUM(T69:T71)</f>
        <v>1346</v>
      </c>
      <c r="U72" s="30">
        <f>SUM(U69:U71)</f>
        <v>15860</v>
      </c>
    </row>
    <row r="73" spans="1:22">
      <c r="A73" s="90"/>
      <c r="B73" s="169"/>
      <c r="C73" s="172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2">
      <c r="A74" s="90"/>
      <c r="B74" s="169"/>
      <c r="C74" s="130" t="s">
        <v>1323</v>
      </c>
      <c r="D74" s="30">
        <f t="shared" ref="D74:I74" si="5">SUM(D24+D36+D49+D58+D72)</f>
        <v>16846</v>
      </c>
      <c r="E74" s="30">
        <f t="shared" si="5"/>
        <v>55</v>
      </c>
      <c r="F74" s="30">
        <f t="shared" si="5"/>
        <v>16901</v>
      </c>
      <c r="G74" s="30">
        <f t="shared" si="5"/>
        <v>0</v>
      </c>
      <c r="H74" s="30">
        <f t="shared" si="5"/>
        <v>16901</v>
      </c>
      <c r="I74" s="30">
        <f t="shared" si="5"/>
        <v>637</v>
      </c>
      <c r="J74" s="30">
        <f>H74+I74</f>
        <v>17538</v>
      </c>
      <c r="K74" s="30">
        <f>SUM(K24+K36+K49+K58+K72)</f>
        <v>2127</v>
      </c>
      <c r="L74" s="30">
        <f>J74+K74</f>
        <v>19665</v>
      </c>
      <c r="M74" s="30"/>
      <c r="N74" s="30"/>
      <c r="O74" s="30"/>
      <c r="P74" s="30"/>
      <c r="Q74" s="30"/>
      <c r="R74" s="30"/>
      <c r="S74" s="30"/>
      <c r="T74" s="30"/>
      <c r="U74" s="30"/>
    </row>
    <row r="75" spans="1:22">
      <c r="A75" s="90"/>
      <c r="B75" s="169"/>
      <c r="C75" s="130" t="s">
        <v>1324</v>
      </c>
      <c r="D75" s="30"/>
      <c r="E75" s="30"/>
      <c r="F75" s="30"/>
      <c r="G75" s="30"/>
      <c r="H75" s="30"/>
      <c r="I75" s="30"/>
      <c r="J75" s="30"/>
      <c r="K75" s="30"/>
      <c r="L75" s="30"/>
      <c r="M75" s="30">
        <f>SUM(M24+M36+M49+M64+M72)</f>
        <v>16846</v>
      </c>
      <c r="N75" s="30">
        <f>SUM(N24+N36+N49+N64+N72)</f>
        <v>55</v>
      </c>
      <c r="O75" s="30">
        <f>SUM(O24+O36+O49+O64+O72)</f>
        <v>16901</v>
      </c>
      <c r="P75" s="30"/>
      <c r="Q75" s="30">
        <f>SUM(Q24+Q36+Q49+Q64+Q72)</f>
        <v>16901</v>
      </c>
      <c r="R75" s="30">
        <f>SUM(R24+R36+R49+R64+R72)</f>
        <v>637</v>
      </c>
      <c r="S75" s="30">
        <f>SUM(S24+S36+S49+S64+S72)</f>
        <v>17538</v>
      </c>
      <c r="T75" s="30">
        <f>SUM(T24+T36+T49+T64+T72)</f>
        <v>2127</v>
      </c>
      <c r="U75" s="30">
        <f>SUM(U24+U36+U49+U64+U72)</f>
        <v>19665</v>
      </c>
    </row>
    <row r="76" spans="1:22">
      <c r="A76" s="90"/>
      <c r="B76" s="169"/>
      <c r="C76" s="130" t="s">
        <v>1326</v>
      </c>
      <c r="D76" s="30">
        <v>5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2">
      <c r="C77" s="26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2" ht="22.5" customHeight="1">
      <c r="A78" s="194" t="s">
        <v>1661</v>
      </c>
      <c r="R78" s="27"/>
      <c r="S78" s="27"/>
      <c r="T78" s="27"/>
      <c r="U78" s="27"/>
    </row>
    <row r="79" spans="1:22" ht="22.5">
      <c r="A79" s="90"/>
      <c r="B79" s="169"/>
      <c r="C79" s="123" t="s">
        <v>1408</v>
      </c>
      <c r="D79" s="186" t="s">
        <v>1278</v>
      </c>
      <c r="E79" s="186" t="s">
        <v>696</v>
      </c>
      <c r="F79" s="186" t="s">
        <v>698</v>
      </c>
      <c r="G79" s="186"/>
      <c r="H79" s="186" t="s">
        <v>698</v>
      </c>
      <c r="I79" s="234" t="s">
        <v>696</v>
      </c>
      <c r="J79" s="186" t="s">
        <v>698</v>
      </c>
      <c r="K79" s="234" t="s">
        <v>696</v>
      </c>
      <c r="L79" s="186" t="s">
        <v>698</v>
      </c>
      <c r="M79" s="186" t="s">
        <v>1278</v>
      </c>
      <c r="N79" s="186" t="s">
        <v>696</v>
      </c>
      <c r="O79" s="186" t="s">
        <v>698</v>
      </c>
      <c r="P79" s="234" t="s">
        <v>696</v>
      </c>
      <c r="Q79" s="186" t="s">
        <v>698</v>
      </c>
      <c r="R79" s="234" t="s">
        <v>696</v>
      </c>
      <c r="S79" s="186" t="s">
        <v>698</v>
      </c>
      <c r="T79" s="234" t="s">
        <v>696</v>
      </c>
      <c r="U79" s="186" t="s">
        <v>698</v>
      </c>
    </row>
    <row r="80" spans="1:22">
      <c r="A80" s="90" t="s">
        <v>1450</v>
      </c>
      <c r="B80" s="169"/>
      <c r="C80" s="137" t="s">
        <v>1411</v>
      </c>
      <c r="D80" s="28">
        <f t="shared" ref="D80:I81" si="6">SUM(D20+D45+D54)</f>
        <v>8420</v>
      </c>
      <c r="E80" s="28">
        <f t="shared" si="6"/>
        <v>0</v>
      </c>
      <c r="F80" s="28">
        <f t="shared" si="6"/>
        <v>8420</v>
      </c>
      <c r="G80" s="28">
        <f t="shared" si="6"/>
        <v>0</v>
      </c>
      <c r="H80" s="28">
        <f t="shared" si="6"/>
        <v>8420</v>
      </c>
      <c r="I80" s="28">
        <f t="shared" si="6"/>
        <v>17</v>
      </c>
      <c r="J80" s="28">
        <f>H80+I80</f>
        <v>8437</v>
      </c>
      <c r="K80" s="28">
        <f>SUM(K20+K45+K54)</f>
        <v>1254</v>
      </c>
      <c r="L80" s="28">
        <f>J80+K80</f>
        <v>9691</v>
      </c>
      <c r="M80" s="28"/>
      <c r="N80" s="28"/>
      <c r="O80" s="28"/>
      <c r="P80" s="28"/>
      <c r="Q80" s="28"/>
      <c r="R80" s="28"/>
      <c r="S80" s="28"/>
      <c r="T80" s="28"/>
      <c r="U80" s="28"/>
      <c r="V80">
        <v>9691</v>
      </c>
    </row>
    <row r="81" spans="1:22">
      <c r="A81" s="90" t="s">
        <v>1434</v>
      </c>
      <c r="B81" s="169"/>
      <c r="C81" s="101" t="s">
        <v>1435</v>
      </c>
      <c r="D81" s="28">
        <f t="shared" si="6"/>
        <v>2246</v>
      </c>
      <c r="E81" s="28">
        <f t="shared" si="6"/>
        <v>0</v>
      </c>
      <c r="F81" s="28">
        <f t="shared" si="6"/>
        <v>2246</v>
      </c>
      <c r="G81" s="28">
        <f t="shared" si="6"/>
        <v>0</v>
      </c>
      <c r="H81" s="28">
        <f t="shared" si="6"/>
        <v>2246</v>
      </c>
      <c r="I81" s="28">
        <f t="shared" si="6"/>
        <v>137</v>
      </c>
      <c r="J81" s="28">
        <f>H81+I81</f>
        <v>2383</v>
      </c>
      <c r="K81" s="28">
        <f>SUM(K21+K46+K55)</f>
        <v>238</v>
      </c>
      <c r="L81" s="28">
        <f>J81+K81</f>
        <v>2621</v>
      </c>
      <c r="M81" s="28"/>
      <c r="N81" s="28"/>
      <c r="O81" s="28"/>
      <c r="P81" s="28"/>
      <c r="Q81" s="28"/>
      <c r="R81" s="28"/>
      <c r="S81" s="28"/>
      <c r="T81" s="28"/>
      <c r="U81" s="28"/>
      <c r="V81">
        <v>2621</v>
      </c>
    </row>
    <row r="82" spans="1:22">
      <c r="A82" s="90" t="s">
        <v>1454</v>
      </c>
      <c r="B82" s="169"/>
      <c r="C82" s="142" t="s">
        <v>1294</v>
      </c>
      <c r="D82" s="28">
        <f t="shared" ref="D82:I83" si="7">SUM(D22+D34+D47+D56)</f>
        <v>4511</v>
      </c>
      <c r="E82" s="28">
        <f t="shared" si="7"/>
        <v>55</v>
      </c>
      <c r="F82" s="28">
        <f t="shared" si="7"/>
        <v>4566</v>
      </c>
      <c r="G82" s="28">
        <f t="shared" si="7"/>
        <v>0</v>
      </c>
      <c r="H82" s="28">
        <f t="shared" si="7"/>
        <v>4566</v>
      </c>
      <c r="I82" s="28">
        <f t="shared" si="7"/>
        <v>483</v>
      </c>
      <c r="J82" s="28">
        <f>H82+I82</f>
        <v>5049</v>
      </c>
      <c r="K82" s="28">
        <f>SUM(K22+K34+K47+K56)</f>
        <v>898</v>
      </c>
      <c r="L82" s="28">
        <f>J82+K82</f>
        <v>5947</v>
      </c>
      <c r="M82" s="28"/>
      <c r="N82" s="28"/>
      <c r="O82" s="28"/>
      <c r="P82" s="28"/>
      <c r="Q82" s="28"/>
      <c r="R82" s="28"/>
      <c r="S82" s="28"/>
      <c r="T82" s="28"/>
      <c r="U82" s="28"/>
      <c r="V82">
        <v>5947</v>
      </c>
    </row>
    <row r="83" spans="1:22">
      <c r="A83" s="90" t="s">
        <v>1436</v>
      </c>
      <c r="B83" s="169"/>
      <c r="C83" s="101" t="s">
        <v>1437</v>
      </c>
      <c r="D83" s="28">
        <f t="shared" si="7"/>
        <v>1669</v>
      </c>
      <c r="E83" s="28">
        <f t="shared" si="7"/>
        <v>0</v>
      </c>
      <c r="F83" s="28">
        <f t="shared" si="7"/>
        <v>1669</v>
      </c>
      <c r="G83" s="28">
        <f t="shared" si="7"/>
        <v>0</v>
      </c>
      <c r="H83" s="28">
        <f t="shared" si="7"/>
        <v>1669</v>
      </c>
      <c r="I83" s="28">
        <f t="shared" si="7"/>
        <v>0</v>
      </c>
      <c r="J83" s="28">
        <f>H83+I83</f>
        <v>1669</v>
      </c>
      <c r="K83" s="28">
        <f>SUM(K23+K35+K48+K57)</f>
        <v>-263</v>
      </c>
      <c r="L83" s="28">
        <f>J83+K83</f>
        <v>1406</v>
      </c>
      <c r="M83" s="28"/>
      <c r="N83" s="28"/>
      <c r="O83" s="28"/>
      <c r="P83" s="28"/>
      <c r="Q83" s="28"/>
      <c r="R83" s="28"/>
      <c r="S83" s="28"/>
      <c r="T83" s="28"/>
      <c r="U83" s="28"/>
      <c r="V83">
        <v>1406</v>
      </c>
    </row>
    <row r="84" spans="1:22">
      <c r="A84" s="90"/>
      <c r="B84" s="169"/>
      <c r="C84" s="136" t="s">
        <v>1409</v>
      </c>
      <c r="D84" s="30">
        <f t="shared" ref="D84:J84" si="8">SUM(D80:D83)</f>
        <v>16846</v>
      </c>
      <c r="E84" s="30">
        <f t="shared" si="8"/>
        <v>55</v>
      </c>
      <c r="F84" s="30">
        <f t="shared" si="8"/>
        <v>16901</v>
      </c>
      <c r="G84" s="30">
        <f t="shared" si="8"/>
        <v>0</v>
      </c>
      <c r="H84" s="30">
        <f t="shared" si="8"/>
        <v>16901</v>
      </c>
      <c r="I84" s="30">
        <f t="shared" si="8"/>
        <v>637</v>
      </c>
      <c r="J84" s="30">
        <f t="shared" si="8"/>
        <v>17538</v>
      </c>
      <c r="K84" s="30">
        <f>SUM(K80:K83)</f>
        <v>2127</v>
      </c>
      <c r="L84" s="30">
        <f>SUM(L80:L83)</f>
        <v>19665</v>
      </c>
      <c r="M84" s="32"/>
      <c r="N84" s="32"/>
      <c r="O84" s="32"/>
      <c r="P84" s="32"/>
      <c r="Q84" s="32"/>
      <c r="R84" s="32"/>
      <c r="S84" s="32"/>
      <c r="T84" s="32"/>
      <c r="U84" s="32"/>
    </row>
    <row r="85" spans="1:22">
      <c r="A85" s="90"/>
      <c r="B85" s="169"/>
      <c r="C85" s="123" t="s">
        <v>1410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2">
      <c r="A86" s="90"/>
      <c r="B86" s="169"/>
      <c r="C86" s="12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2">
      <c r="A87" s="90" t="s">
        <v>1440</v>
      </c>
      <c r="B87" s="169"/>
      <c r="C87" s="90" t="s">
        <v>1632</v>
      </c>
      <c r="D87" s="28"/>
      <c r="E87" s="28"/>
      <c r="F87" s="28"/>
      <c r="G87" s="28"/>
      <c r="H87" s="28"/>
      <c r="I87" s="28"/>
      <c r="J87" s="28"/>
      <c r="K87" s="28"/>
      <c r="L87" s="28"/>
      <c r="M87" s="28">
        <f>SUM(M31+M43)</f>
        <v>178</v>
      </c>
      <c r="N87" s="28">
        <f>SUM(N31+N43)</f>
        <v>0</v>
      </c>
      <c r="O87" s="28">
        <f>SUM(O31+O43)</f>
        <v>178</v>
      </c>
      <c r="P87" s="28"/>
      <c r="Q87" s="28">
        <f>SUM(Q31+Q43)</f>
        <v>178</v>
      </c>
      <c r="R87" s="28">
        <f>SUM(R31+R43)</f>
        <v>0</v>
      </c>
      <c r="S87" s="28">
        <f>SUM(S31+S43)</f>
        <v>178</v>
      </c>
      <c r="T87" s="28">
        <f>SUM(T31+T43)</f>
        <v>2716</v>
      </c>
      <c r="U87" s="28">
        <f>SUM(U31+U43)</f>
        <v>2894</v>
      </c>
    </row>
    <row r="88" spans="1:22" ht="22.5">
      <c r="A88" s="102" t="s">
        <v>1709</v>
      </c>
      <c r="B88" s="169"/>
      <c r="C88" s="90" t="s">
        <v>1281</v>
      </c>
      <c r="D88" s="28"/>
      <c r="E88" s="28"/>
      <c r="F88" s="28"/>
      <c r="G88" s="28"/>
      <c r="H88" s="28"/>
      <c r="I88" s="28"/>
      <c r="J88" s="28"/>
      <c r="K88" s="28"/>
      <c r="L88" s="28"/>
      <c r="M88" s="28">
        <f>SUM(M15+M16+M29+M30+M41+M42+M62+M63)</f>
        <v>2846</v>
      </c>
      <c r="N88" s="28">
        <f>SUM(N15+N16+N29+N30+N41+N42+N62+N63)</f>
        <v>0</v>
      </c>
      <c r="O88" s="28">
        <f>SUM(O15+O16+O29+O30+O41+O42+O62+O63)</f>
        <v>2846</v>
      </c>
      <c r="P88" s="28"/>
      <c r="Q88" s="28">
        <f>SUM(Q15+Q16+Q29+Q30+Q41+Q42+Q62+Q63)</f>
        <v>2846</v>
      </c>
      <c r="R88" s="28">
        <f>SUM(R15+R16+R29+R30+R41+R42+R62+R63)</f>
        <v>0</v>
      </c>
      <c r="S88" s="28">
        <f>SUM(S15+S16+S29+S30+S41+S42+S62+S63)</f>
        <v>2846</v>
      </c>
      <c r="T88" s="28">
        <f>SUM(T15+T16+T29+T30+T41+T42+T62+T63)</f>
        <v>-2357</v>
      </c>
      <c r="U88" s="28">
        <f>SUM(U15+U16+U29+U30+U41+U42+U62+U63)</f>
        <v>489</v>
      </c>
    </row>
    <row r="89" spans="1:22" s="242" customFormat="1" hidden="1">
      <c r="A89" s="240"/>
      <c r="B89" s="260"/>
      <c r="C89" s="240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</row>
    <row r="90" spans="1:22" s="242" customFormat="1" hidden="1">
      <c r="A90" s="240"/>
      <c r="B90" s="260"/>
      <c r="C90" s="240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</row>
    <row r="91" spans="1:22">
      <c r="A91" s="90" t="s">
        <v>1706</v>
      </c>
      <c r="B91" s="169"/>
      <c r="C91" s="90" t="s">
        <v>1707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>
        <f>T32+T18</f>
        <v>422</v>
      </c>
      <c r="U91" s="28">
        <f>U32+U18</f>
        <v>422</v>
      </c>
      <c r="V91" s="12">
        <f>U87+U88+U91</f>
        <v>3805</v>
      </c>
    </row>
    <row r="92" spans="1:22">
      <c r="A92" s="90" t="s">
        <v>1438</v>
      </c>
      <c r="B92" s="169"/>
      <c r="C92" s="90" t="s">
        <v>1558</v>
      </c>
      <c r="D92" s="28"/>
      <c r="E92" s="28"/>
      <c r="F92" s="28"/>
      <c r="G92" s="28"/>
      <c r="H92" s="28"/>
      <c r="I92" s="28"/>
      <c r="J92" s="28"/>
      <c r="K92" s="28"/>
      <c r="L92" s="28"/>
      <c r="M92" s="28">
        <f>SUM(M71)</f>
        <v>0</v>
      </c>
      <c r="N92" s="28">
        <f>SUM(N71)</f>
        <v>55</v>
      </c>
      <c r="O92" s="28">
        <f>SUM(O71)</f>
        <v>55</v>
      </c>
      <c r="P92" s="28"/>
      <c r="Q92" s="28">
        <f>SUM(Q71)</f>
        <v>55</v>
      </c>
      <c r="R92" s="28">
        <f>SUM(R71)</f>
        <v>0</v>
      </c>
      <c r="S92" s="28">
        <f>SUM(S71)</f>
        <v>55</v>
      </c>
      <c r="T92" s="28">
        <f>SUM(T71)</f>
        <v>0</v>
      </c>
      <c r="U92" s="28">
        <f>SUM(U71)</f>
        <v>55</v>
      </c>
    </row>
    <row r="93" spans="1:22">
      <c r="A93" s="90" t="s">
        <v>1455</v>
      </c>
      <c r="B93" s="169"/>
      <c r="C93" s="90" t="s">
        <v>1603</v>
      </c>
      <c r="D93" s="28"/>
      <c r="E93" s="28"/>
      <c r="F93" s="28"/>
      <c r="G93" s="28"/>
      <c r="H93" s="28"/>
      <c r="I93" s="28"/>
      <c r="J93" s="28"/>
      <c r="K93" s="28"/>
      <c r="L93" s="28"/>
      <c r="M93" s="28">
        <f>SUM(M69)</f>
        <v>13822</v>
      </c>
      <c r="N93" s="28">
        <f>SUM(N69)</f>
        <v>0</v>
      </c>
      <c r="O93" s="28">
        <f>SUM(O69)</f>
        <v>13822</v>
      </c>
      <c r="P93" s="28"/>
      <c r="Q93" s="28">
        <f>SUM(Q69)</f>
        <v>13822</v>
      </c>
      <c r="R93" s="28">
        <f>SUM(R69)</f>
        <v>637</v>
      </c>
      <c r="S93" s="28">
        <f>SUM(S69)</f>
        <v>14459</v>
      </c>
      <c r="T93" s="28">
        <f>SUM(T69)</f>
        <v>1346</v>
      </c>
      <c r="U93" s="28">
        <f>SUM(U69)</f>
        <v>15805</v>
      </c>
    </row>
    <row r="94" spans="1:22">
      <c r="A94" s="90"/>
      <c r="B94" s="169"/>
      <c r="C94" s="123" t="s">
        <v>1413</v>
      </c>
      <c r="D94" s="30"/>
      <c r="E94" s="30"/>
      <c r="F94" s="30"/>
      <c r="G94" s="30"/>
      <c r="H94" s="30"/>
      <c r="I94" s="30"/>
      <c r="J94" s="30"/>
      <c r="K94" s="30"/>
      <c r="L94" s="30"/>
      <c r="M94" s="30">
        <f>SUM(M87:M93)</f>
        <v>16846</v>
      </c>
      <c r="N94" s="34">
        <f>SUM(N87:N93)</f>
        <v>55</v>
      </c>
      <c r="O94" s="30">
        <f>SUM(O87:O93)</f>
        <v>16901</v>
      </c>
      <c r="P94" s="34"/>
      <c r="Q94" s="30">
        <f>SUM(Q87:Q93)</f>
        <v>16901</v>
      </c>
      <c r="R94" s="30">
        <f>SUM(R87:R93)</f>
        <v>637</v>
      </c>
      <c r="S94" s="30">
        <f>SUM(S87:S93)</f>
        <v>17538</v>
      </c>
      <c r="T94" s="30">
        <f>SUM(T87:T93)</f>
        <v>2127</v>
      </c>
      <c r="U94" s="30">
        <f>SUM(U87:U93)</f>
        <v>19665</v>
      </c>
    </row>
    <row r="97" spans="13:21">
      <c r="M97" s="27">
        <f>D84-M94</f>
        <v>0</v>
      </c>
      <c r="N97" s="27">
        <f t="shared" ref="N97:U97" si="9">E84-N94</f>
        <v>0</v>
      </c>
      <c r="O97" s="27">
        <f t="shared" si="9"/>
        <v>0</v>
      </c>
      <c r="P97" s="27">
        <f t="shared" si="9"/>
        <v>0</v>
      </c>
      <c r="Q97" s="27">
        <f t="shared" si="9"/>
        <v>0</v>
      </c>
      <c r="R97" s="27">
        <f t="shared" si="9"/>
        <v>0</v>
      </c>
      <c r="S97" s="27">
        <f t="shared" si="9"/>
        <v>0</v>
      </c>
      <c r="T97" s="27">
        <f t="shared" si="9"/>
        <v>0</v>
      </c>
      <c r="U97" s="27">
        <f t="shared" si="9"/>
        <v>0</v>
      </c>
    </row>
  </sheetData>
  <mergeCells count="7">
    <mergeCell ref="A6:U6"/>
    <mergeCell ref="A7:U7"/>
    <mergeCell ref="A9:A10"/>
    <mergeCell ref="C9:C10"/>
    <mergeCell ref="B9:B10"/>
    <mergeCell ref="D9:L9"/>
    <mergeCell ref="M9:U9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62"/>
  <sheetViews>
    <sheetView topLeftCell="D1" workbookViewId="0">
      <pane ySplit="6" topLeftCell="A88" activePane="bottomLeft" state="frozen"/>
      <selection activeCell="B44" sqref="B44"/>
      <selection pane="bottomLeft" activeCell="S168" sqref="S168"/>
    </sheetView>
  </sheetViews>
  <sheetFormatPr defaultRowHeight="12.75"/>
  <cols>
    <col min="1" max="1" width="8.5703125" style="74" customWidth="1"/>
    <col min="2" max="2" width="6.7109375" style="120" hidden="1" customWidth="1"/>
    <col min="3" max="3" width="35.5703125" style="1" customWidth="1"/>
    <col min="4" max="4" width="10" style="3" customWidth="1"/>
    <col min="5" max="6" width="10" style="3" hidden="1" customWidth="1"/>
    <col min="7" max="7" width="9.140625" style="3" hidden="1" customWidth="1"/>
    <col min="8" max="8" width="10.140625" style="3" hidden="1" customWidth="1"/>
    <col min="9" max="9" width="9.140625" style="3" hidden="1" customWidth="1"/>
    <col min="10" max="12" width="9.5703125" style="3" customWidth="1"/>
    <col min="13" max="13" width="8.5703125" style="3" customWidth="1"/>
    <col min="14" max="15" width="8.5703125" style="3" hidden="1" customWidth="1"/>
    <col min="16" max="16" width="8.42578125" style="3" hidden="1" customWidth="1"/>
    <col min="17" max="17" width="12.85546875" style="3" hidden="1" customWidth="1"/>
    <col min="18" max="18" width="8.42578125" style="3" hidden="1" customWidth="1"/>
    <col min="19" max="21" width="9.5703125" style="3" customWidth="1"/>
    <col min="22" max="25" width="0" hidden="1" customWidth="1"/>
  </cols>
  <sheetData>
    <row r="1" spans="1:21">
      <c r="C1"/>
      <c r="M1" s="93"/>
      <c r="N1" s="93"/>
      <c r="O1" s="93"/>
      <c r="P1" s="93"/>
      <c r="Q1" s="93"/>
      <c r="R1" s="93"/>
      <c r="S1" s="93"/>
      <c r="T1" s="93"/>
      <c r="U1" s="93" t="s">
        <v>1531</v>
      </c>
    </row>
    <row r="2" spans="1:21">
      <c r="A2" s="309" t="s">
        <v>1315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>
      <c r="A3" s="309" t="s">
        <v>700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1:21">
      <c r="C4" s="45"/>
      <c r="O4" s="188"/>
      <c r="Q4" s="188"/>
      <c r="S4" s="188"/>
      <c r="U4" s="188" t="s">
        <v>1432</v>
      </c>
    </row>
    <row r="5" spans="1:21" ht="12.75" customHeight="1">
      <c r="A5" s="307" t="s">
        <v>1421</v>
      </c>
      <c r="B5" s="303" t="s">
        <v>7</v>
      </c>
      <c r="C5" s="305" t="s">
        <v>1431</v>
      </c>
      <c r="D5" s="282" t="s">
        <v>1276</v>
      </c>
      <c r="E5" s="283"/>
      <c r="F5" s="283"/>
      <c r="G5" s="283"/>
      <c r="H5" s="283"/>
      <c r="I5" s="283"/>
      <c r="J5" s="283"/>
      <c r="K5" s="283"/>
      <c r="L5" s="284"/>
      <c r="M5" s="285" t="s">
        <v>1277</v>
      </c>
      <c r="N5" s="286"/>
      <c r="O5" s="286"/>
      <c r="P5" s="286"/>
      <c r="Q5" s="286"/>
      <c r="R5" s="286"/>
      <c r="S5" s="286"/>
      <c r="T5" s="286"/>
      <c r="U5" s="287"/>
    </row>
    <row r="6" spans="1:21" ht="27" customHeight="1">
      <c r="A6" s="308"/>
      <c r="B6" s="304"/>
      <c r="C6" s="306"/>
      <c r="D6" s="238" t="s">
        <v>1278</v>
      </c>
      <c r="E6" s="234" t="s">
        <v>696</v>
      </c>
      <c r="F6" s="234" t="s">
        <v>698</v>
      </c>
      <c r="G6" s="234" t="s">
        <v>696</v>
      </c>
      <c r="H6" s="234" t="s">
        <v>698</v>
      </c>
      <c r="I6" s="234" t="s">
        <v>696</v>
      </c>
      <c r="J6" s="234" t="s">
        <v>698</v>
      </c>
      <c r="K6" s="234" t="s">
        <v>1689</v>
      </c>
      <c r="L6" s="234" t="s">
        <v>698</v>
      </c>
      <c r="M6" s="199" t="s">
        <v>1278</v>
      </c>
      <c r="N6" s="186" t="s">
        <v>696</v>
      </c>
      <c r="O6" s="186" t="s">
        <v>697</v>
      </c>
      <c r="P6" s="234" t="s">
        <v>696</v>
      </c>
      <c r="Q6" s="186" t="s">
        <v>697</v>
      </c>
      <c r="R6" s="234" t="s">
        <v>696</v>
      </c>
      <c r="S6" s="186" t="s">
        <v>697</v>
      </c>
      <c r="T6" s="234" t="s">
        <v>1689</v>
      </c>
      <c r="U6" s="186" t="s">
        <v>697</v>
      </c>
    </row>
    <row r="7" spans="1:21">
      <c r="A7" s="90"/>
      <c r="B7" s="122"/>
      <c r="C7" s="16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189"/>
      <c r="B8" s="190" t="s">
        <v>56</v>
      </c>
      <c r="C8" s="193" t="s">
        <v>55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1">
      <c r="A9" s="90"/>
      <c r="B9" s="122"/>
      <c r="C9" s="141" t="s">
        <v>1280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>
      <c r="A10" s="123" t="s">
        <v>1442</v>
      </c>
      <c r="B10" s="122"/>
      <c r="C10" s="130" t="s">
        <v>1281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90" t="s">
        <v>1440</v>
      </c>
      <c r="B11" s="122"/>
      <c r="C11" s="101" t="s">
        <v>1281</v>
      </c>
      <c r="D11" s="28"/>
      <c r="E11" s="28"/>
      <c r="F11" s="28"/>
      <c r="G11" s="28"/>
      <c r="H11" s="28"/>
      <c r="I11" s="28"/>
      <c r="J11" s="28"/>
      <c r="K11" s="28"/>
      <c r="L11" s="28"/>
      <c r="M11" s="28">
        <v>1174</v>
      </c>
      <c r="N11" s="28"/>
      <c r="O11" s="28">
        <f>M11+N11</f>
        <v>1174</v>
      </c>
      <c r="P11" s="28"/>
      <c r="Q11" s="28">
        <f>O11+P11</f>
        <v>1174</v>
      </c>
      <c r="R11" s="28"/>
      <c r="S11" s="28">
        <f>Q11+R11</f>
        <v>1174</v>
      </c>
      <c r="T11" s="28">
        <v>2394</v>
      </c>
      <c r="U11" s="28">
        <f>S11+T11</f>
        <v>3568</v>
      </c>
    </row>
    <row r="12" spans="1:21">
      <c r="A12" s="90" t="s">
        <v>1451</v>
      </c>
      <c r="B12" s="122"/>
      <c r="C12" s="142" t="s">
        <v>1282</v>
      </c>
      <c r="D12" s="28"/>
      <c r="E12" s="28"/>
      <c r="F12" s="28"/>
      <c r="G12" s="28"/>
      <c r="H12" s="28"/>
      <c r="I12" s="28"/>
      <c r="J12" s="28"/>
      <c r="K12" s="28"/>
      <c r="L12" s="28"/>
      <c r="M12" s="28">
        <v>317</v>
      </c>
      <c r="N12" s="28"/>
      <c r="O12" s="28">
        <f>M12+N12</f>
        <v>317</v>
      </c>
      <c r="P12" s="28"/>
      <c r="Q12" s="28">
        <f>O12+P12</f>
        <v>317</v>
      </c>
      <c r="R12" s="28"/>
      <c r="S12" s="28">
        <f>Q12+R12</f>
        <v>317</v>
      </c>
      <c r="T12" s="28"/>
      <c r="U12" s="28">
        <f>S12+T12</f>
        <v>317</v>
      </c>
    </row>
    <row r="13" spans="1:21">
      <c r="A13" s="123" t="s">
        <v>1441</v>
      </c>
      <c r="B13" s="122"/>
      <c r="C13" s="130" t="s">
        <v>1292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90" t="s">
        <v>1433</v>
      </c>
      <c r="B14" s="122"/>
      <c r="C14" s="142" t="s">
        <v>1293</v>
      </c>
      <c r="D14" s="28">
        <v>6403</v>
      </c>
      <c r="E14" s="28"/>
      <c r="F14" s="28">
        <f>D14+E14</f>
        <v>6403</v>
      </c>
      <c r="G14" s="28"/>
      <c r="H14" s="28">
        <f>F14+G14</f>
        <v>6403</v>
      </c>
      <c r="I14" s="28"/>
      <c r="J14" s="28">
        <f>H14+I14</f>
        <v>6403</v>
      </c>
      <c r="K14" s="28">
        <f>334+406+233</f>
        <v>973</v>
      </c>
      <c r="L14" s="28">
        <f>J14+K14</f>
        <v>7376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A15" s="90" t="s">
        <v>1434</v>
      </c>
      <c r="B15" s="122"/>
      <c r="C15" s="101" t="s">
        <v>1435</v>
      </c>
      <c r="D15" s="28">
        <v>1729</v>
      </c>
      <c r="E15" s="28"/>
      <c r="F15" s="28">
        <f>D15+E15</f>
        <v>1729</v>
      </c>
      <c r="G15" s="28"/>
      <c r="H15" s="28">
        <f>F15+G15</f>
        <v>1729</v>
      </c>
      <c r="I15" s="28"/>
      <c r="J15" s="28">
        <f>H15+I15</f>
        <v>1729</v>
      </c>
      <c r="K15" s="28">
        <f>90+366</f>
        <v>456</v>
      </c>
      <c r="L15" s="28">
        <f>J15+K15</f>
        <v>2185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>
      <c r="A16" s="90" t="s">
        <v>1454</v>
      </c>
      <c r="B16" s="122"/>
      <c r="C16" s="142" t="s">
        <v>1294</v>
      </c>
      <c r="D16" s="28">
        <v>4542</v>
      </c>
      <c r="E16" s="28"/>
      <c r="F16" s="28">
        <f>D16+E16</f>
        <v>4542</v>
      </c>
      <c r="G16" s="28"/>
      <c r="H16" s="28">
        <f>F16+G16</f>
        <v>4542</v>
      </c>
      <c r="I16" s="28"/>
      <c r="J16" s="28">
        <f>H16+I16</f>
        <v>4542</v>
      </c>
      <c r="K16" s="28">
        <f>238+1900</f>
        <v>2138</v>
      </c>
      <c r="L16" s="28">
        <f>J16+K16</f>
        <v>6680</v>
      </c>
      <c r="M16" s="28"/>
      <c r="N16" s="28"/>
      <c r="O16" s="28"/>
      <c r="P16" s="28"/>
      <c r="Q16" s="28"/>
      <c r="R16" s="28"/>
      <c r="S16" s="28"/>
      <c r="T16" s="28"/>
      <c r="U16" s="28"/>
    </row>
    <row r="17" spans="1:21">
      <c r="A17" s="90" t="s">
        <v>1436</v>
      </c>
      <c r="B17" s="122"/>
      <c r="C17" s="101" t="s">
        <v>1437</v>
      </c>
      <c r="D17" s="28">
        <v>1249</v>
      </c>
      <c r="E17" s="28"/>
      <c r="F17" s="28">
        <f>D17+E17</f>
        <v>1249</v>
      </c>
      <c r="G17" s="28"/>
      <c r="H17" s="28">
        <f>F17+G17</f>
        <v>1249</v>
      </c>
      <c r="I17" s="28"/>
      <c r="J17" s="28">
        <f>H17+I17</f>
        <v>1249</v>
      </c>
      <c r="K17" s="28">
        <f>686+538</f>
        <v>1224</v>
      </c>
      <c r="L17" s="28">
        <f>J17+K17</f>
        <v>2473</v>
      </c>
      <c r="M17" s="28"/>
      <c r="N17" s="28"/>
      <c r="O17" s="28"/>
      <c r="P17" s="28"/>
      <c r="Q17" s="28"/>
      <c r="R17" s="28"/>
      <c r="S17" s="28"/>
      <c r="T17" s="28"/>
      <c r="U17" s="28"/>
    </row>
    <row r="18" spans="1:21">
      <c r="A18" s="90"/>
      <c r="B18" s="122"/>
      <c r="C18" s="130" t="s">
        <v>1318</v>
      </c>
      <c r="D18" s="30">
        <f>SUM(D14:D17)</f>
        <v>13923</v>
      </c>
      <c r="E18" s="30">
        <f>SUM(E14:E17)</f>
        <v>0</v>
      </c>
      <c r="F18" s="30">
        <f>SUM(F14:F17)</f>
        <v>13923</v>
      </c>
      <c r="G18" s="30"/>
      <c r="H18" s="30">
        <f>SUM(H14:H17)</f>
        <v>13923</v>
      </c>
      <c r="I18" s="30"/>
      <c r="J18" s="30">
        <f>SUM(J14:J17)</f>
        <v>13923</v>
      </c>
      <c r="K18" s="30">
        <f>SUM(K14:K17)</f>
        <v>4791</v>
      </c>
      <c r="L18" s="30">
        <f>SUM(L14:L17)</f>
        <v>18714</v>
      </c>
      <c r="M18" s="30">
        <f>SUM(M10:M17)</f>
        <v>1491</v>
      </c>
      <c r="N18" s="30">
        <f>SUM(N10:N17)</f>
        <v>0</v>
      </c>
      <c r="O18" s="30">
        <f>SUM(O10:O17)</f>
        <v>1491</v>
      </c>
      <c r="P18" s="30"/>
      <c r="Q18" s="30">
        <f>SUM(Q10:Q17)</f>
        <v>1491</v>
      </c>
      <c r="R18" s="30"/>
      <c r="S18" s="30">
        <f>SUM(S10:S17)</f>
        <v>1491</v>
      </c>
      <c r="T18" s="30">
        <f>SUM(T10:T17)</f>
        <v>2394</v>
      </c>
      <c r="U18" s="30">
        <f>SUM(U10:U17)</f>
        <v>3885</v>
      </c>
    </row>
    <row r="19" spans="1:21">
      <c r="A19" s="90"/>
      <c r="B19" s="122"/>
      <c r="C19" s="1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>
      <c r="A20" s="189"/>
      <c r="B20" s="190" t="s">
        <v>56</v>
      </c>
      <c r="C20" s="193" t="s">
        <v>57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</row>
    <row r="21" spans="1:21">
      <c r="A21" s="90"/>
      <c r="B21" s="122"/>
      <c r="C21" s="130" t="s">
        <v>1280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>
      <c r="A22" s="123" t="s">
        <v>1442</v>
      </c>
      <c r="B22" s="122"/>
      <c r="C22" s="130" t="s">
        <v>1281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>
      <c r="A23" s="90" t="s">
        <v>1440</v>
      </c>
      <c r="B23" s="122"/>
      <c r="C23" s="147" t="s">
        <v>1281</v>
      </c>
      <c r="D23" s="30"/>
      <c r="E23" s="30"/>
      <c r="F23" s="30"/>
      <c r="G23" s="30"/>
      <c r="H23" s="30"/>
      <c r="I23" s="30"/>
      <c r="J23" s="30"/>
      <c r="K23" s="30"/>
      <c r="L23" s="30"/>
      <c r="M23" s="32">
        <v>163</v>
      </c>
      <c r="N23" s="32"/>
      <c r="O23" s="32">
        <f>M23+N23</f>
        <v>163</v>
      </c>
      <c r="P23" s="32"/>
      <c r="Q23" s="32">
        <f>O23+P23</f>
        <v>163</v>
      </c>
      <c r="R23" s="32"/>
      <c r="S23" s="32">
        <f>Q23+R23</f>
        <v>163</v>
      </c>
      <c r="T23" s="32">
        <v>2500</v>
      </c>
      <c r="U23" s="32">
        <f>S23+T23</f>
        <v>2663</v>
      </c>
    </row>
    <row r="24" spans="1:21">
      <c r="A24" s="90" t="s">
        <v>1451</v>
      </c>
      <c r="B24" s="122"/>
      <c r="C24" s="147" t="s">
        <v>1282</v>
      </c>
      <c r="D24" s="30"/>
      <c r="E24" s="30"/>
      <c r="F24" s="30"/>
      <c r="G24" s="30"/>
      <c r="H24" s="30"/>
      <c r="I24" s="30"/>
      <c r="J24" s="30"/>
      <c r="K24" s="30"/>
      <c r="L24" s="30"/>
      <c r="M24" s="32">
        <v>44</v>
      </c>
      <c r="N24" s="32"/>
      <c r="O24" s="32">
        <f>M24+N24</f>
        <v>44</v>
      </c>
      <c r="P24" s="32"/>
      <c r="Q24" s="32">
        <f>O24+P24</f>
        <v>44</v>
      </c>
      <c r="R24" s="32"/>
      <c r="S24" s="32">
        <f>Q24+R24</f>
        <v>44</v>
      </c>
      <c r="T24" s="32"/>
      <c r="U24" s="32">
        <f>S24+T24</f>
        <v>44</v>
      </c>
    </row>
    <row r="25" spans="1:21">
      <c r="A25" s="123" t="s">
        <v>1441</v>
      </c>
      <c r="B25" s="122"/>
      <c r="C25" s="130" t="s">
        <v>1292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>
      <c r="A26" s="90" t="s">
        <v>1433</v>
      </c>
      <c r="B26" s="122"/>
      <c r="C26" s="147" t="s">
        <v>1293</v>
      </c>
      <c r="D26" s="32"/>
      <c r="E26" s="32"/>
      <c r="F26" s="32"/>
      <c r="G26" s="32"/>
      <c r="H26" s="32"/>
      <c r="I26" s="32"/>
      <c r="J26" s="32"/>
      <c r="K26" s="32"/>
      <c r="L26" s="32"/>
      <c r="M26" s="30"/>
      <c r="N26" s="30"/>
      <c r="O26" s="30"/>
      <c r="P26" s="30"/>
      <c r="Q26" s="30"/>
      <c r="R26" s="30"/>
      <c r="S26" s="30"/>
      <c r="T26" s="30"/>
      <c r="U26" s="30"/>
    </row>
    <row r="27" spans="1:21">
      <c r="A27" s="90" t="s">
        <v>1434</v>
      </c>
      <c r="B27" s="122"/>
      <c r="C27" s="147" t="s">
        <v>1532</v>
      </c>
      <c r="D27" s="32"/>
      <c r="E27" s="32"/>
      <c r="F27" s="32"/>
      <c r="G27" s="32"/>
      <c r="H27" s="32"/>
      <c r="I27" s="32"/>
      <c r="J27" s="32"/>
      <c r="K27" s="32"/>
      <c r="L27" s="32"/>
      <c r="M27" s="30"/>
      <c r="N27" s="30"/>
      <c r="O27" s="30"/>
      <c r="P27" s="30"/>
      <c r="Q27" s="30"/>
      <c r="R27" s="30"/>
      <c r="S27" s="30"/>
      <c r="T27" s="30"/>
      <c r="U27" s="30"/>
    </row>
    <row r="28" spans="1:21">
      <c r="A28" s="90" t="s">
        <v>1454</v>
      </c>
      <c r="B28" s="122"/>
      <c r="C28" s="147" t="s">
        <v>1294</v>
      </c>
      <c r="D28" s="32">
        <v>1954</v>
      </c>
      <c r="E28" s="32"/>
      <c r="F28" s="32">
        <f>D28+E28</f>
        <v>1954</v>
      </c>
      <c r="G28" s="32"/>
      <c r="H28" s="32">
        <f>F28+G28</f>
        <v>1954</v>
      </c>
      <c r="I28" s="32"/>
      <c r="J28" s="32">
        <f>H28+I28</f>
        <v>1954</v>
      </c>
      <c r="K28" s="32">
        <v>-1900</v>
      </c>
      <c r="L28" s="32">
        <f>J28+K28</f>
        <v>54</v>
      </c>
      <c r="M28" s="30"/>
      <c r="N28" s="30"/>
      <c r="O28" s="30"/>
      <c r="P28" s="30"/>
      <c r="Q28" s="30"/>
      <c r="R28" s="30"/>
      <c r="S28" s="30"/>
      <c r="T28" s="30"/>
      <c r="U28" s="30"/>
    </row>
    <row r="29" spans="1:21">
      <c r="A29" s="90" t="s">
        <v>1436</v>
      </c>
      <c r="B29" s="122"/>
      <c r="C29" s="147" t="s">
        <v>1437</v>
      </c>
      <c r="D29" s="32">
        <v>538</v>
      </c>
      <c r="E29" s="32"/>
      <c r="F29" s="32">
        <f>D29+E29</f>
        <v>538</v>
      </c>
      <c r="G29" s="32"/>
      <c r="H29" s="32">
        <f>F29+G29</f>
        <v>538</v>
      </c>
      <c r="I29" s="32"/>
      <c r="J29" s="32">
        <f>H29+I29</f>
        <v>538</v>
      </c>
      <c r="K29" s="32">
        <v>-538</v>
      </c>
      <c r="L29" s="32">
        <f>J29+K29</f>
        <v>0</v>
      </c>
      <c r="M29" s="30"/>
      <c r="N29" s="30"/>
      <c r="O29" s="30"/>
      <c r="P29" s="30"/>
      <c r="Q29" s="30"/>
      <c r="R29" s="30"/>
      <c r="S29" s="30"/>
      <c r="T29" s="30"/>
      <c r="U29" s="30"/>
    </row>
    <row r="30" spans="1:21">
      <c r="A30" s="90"/>
      <c r="B30" s="122"/>
      <c r="C30" s="100" t="s">
        <v>1318</v>
      </c>
      <c r="D30" s="30">
        <f>SUM(D26:D29)</f>
        <v>2492</v>
      </c>
      <c r="E30" s="30">
        <f>SUM(E26:E29)</f>
        <v>0</v>
      </c>
      <c r="F30" s="30">
        <f>SUM(F26:F29)</f>
        <v>2492</v>
      </c>
      <c r="G30" s="30"/>
      <c r="H30" s="30">
        <f>SUM(H26:H29)</f>
        <v>2492</v>
      </c>
      <c r="I30" s="30"/>
      <c r="J30" s="30">
        <f>SUM(J26:J29)</f>
        <v>2492</v>
      </c>
      <c r="K30" s="30">
        <f>SUM(K26:K29)</f>
        <v>-2438</v>
      </c>
      <c r="L30" s="30">
        <f>SUM(L26:L29)</f>
        <v>54</v>
      </c>
      <c r="M30" s="30">
        <f>SUM(M23:M24)</f>
        <v>207</v>
      </c>
      <c r="N30" s="30">
        <f>SUM(N23:N24)</f>
        <v>0</v>
      </c>
      <c r="O30" s="30">
        <f>SUM(O23:O24)</f>
        <v>207</v>
      </c>
      <c r="P30" s="30"/>
      <c r="Q30" s="30">
        <f>SUM(Q23:Q24)</f>
        <v>207</v>
      </c>
      <c r="R30" s="30"/>
      <c r="S30" s="30">
        <f>SUM(S23:S24)</f>
        <v>207</v>
      </c>
      <c r="T30" s="30">
        <f>SUM(T23:T24)</f>
        <v>2500</v>
      </c>
      <c r="U30" s="30">
        <f>SUM(U23:U24)</f>
        <v>2707</v>
      </c>
    </row>
    <row r="31" spans="1:21">
      <c r="A31" s="90"/>
      <c r="B31" s="122"/>
      <c r="C31" s="130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>
      <c r="A32" s="189"/>
      <c r="B32" s="190" t="s">
        <v>58</v>
      </c>
      <c r="C32" s="193" t="s">
        <v>59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</row>
    <row r="33" spans="1:21">
      <c r="A33" s="90"/>
      <c r="B33" s="122"/>
      <c r="C33" s="141" t="s">
        <v>1280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>
      <c r="A34" s="123" t="s">
        <v>1442</v>
      </c>
      <c r="B34" s="122"/>
      <c r="C34" s="130" t="s">
        <v>1281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>
      <c r="A35" s="90" t="s">
        <v>1439</v>
      </c>
      <c r="B35" s="122"/>
      <c r="C35" s="101" t="s">
        <v>1281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>
        <f>M35+N35</f>
        <v>0</v>
      </c>
      <c r="P35" s="28"/>
      <c r="Q35" s="28">
        <f>O35+P35</f>
        <v>0</v>
      </c>
      <c r="R35" s="28"/>
      <c r="S35" s="28">
        <f>Q35+R35</f>
        <v>0</v>
      </c>
      <c r="T35" s="28"/>
      <c r="U35" s="28">
        <f>S35+T35</f>
        <v>0</v>
      </c>
    </row>
    <row r="36" spans="1:21">
      <c r="A36" s="90" t="s">
        <v>1451</v>
      </c>
      <c r="B36" s="122"/>
      <c r="C36" s="142" t="s">
        <v>1282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>
        <f>M36+N36</f>
        <v>0</v>
      </c>
      <c r="P36" s="28"/>
      <c r="Q36" s="28">
        <f>O36+P36</f>
        <v>0</v>
      </c>
      <c r="R36" s="28"/>
      <c r="S36" s="28">
        <f>Q36+R36</f>
        <v>0</v>
      </c>
      <c r="T36" s="28"/>
      <c r="U36" s="28">
        <f>S36+T36</f>
        <v>0</v>
      </c>
    </row>
    <row r="37" spans="1:21">
      <c r="A37" s="90"/>
      <c r="B37" s="122"/>
      <c r="C37" s="130" t="s">
        <v>1318</v>
      </c>
      <c r="D37" s="28"/>
      <c r="E37" s="28"/>
      <c r="F37" s="28"/>
      <c r="G37" s="28"/>
      <c r="H37" s="28"/>
      <c r="I37" s="28"/>
      <c r="J37" s="28"/>
      <c r="K37" s="28"/>
      <c r="L37" s="28"/>
      <c r="M37" s="30">
        <f>SUM(M35:M36)</f>
        <v>0</v>
      </c>
      <c r="N37" s="30">
        <f>SUM(N35:N36)</f>
        <v>0</v>
      </c>
      <c r="O37" s="30">
        <f>SUM(O35:O36)</f>
        <v>0</v>
      </c>
      <c r="P37" s="30"/>
      <c r="Q37" s="30">
        <f>SUM(Q35:Q36)</f>
        <v>0</v>
      </c>
      <c r="R37" s="30"/>
      <c r="S37" s="30">
        <f>SUM(S35:S36)</f>
        <v>0</v>
      </c>
      <c r="T37" s="30">
        <f>SUM(T35:T36)</f>
        <v>0</v>
      </c>
      <c r="U37" s="30">
        <f>SUM(U35:U36)</f>
        <v>0</v>
      </c>
    </row>
    <row r="38" spans="1:21">
      <c r="A38" s="90"/>
      <c r="B38" s="122"/>
      <c r="C38" s="13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>
      <c r="A39" s="189"/>
      <c r="B39" s="190" t="s">
        <v>58</v>
      </c>
      <c r="C39" s="193" t="s">
        <v>60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</row>
    <row r="40" spans="1:21">
      <c r="A40" s="90"/>
      <c r="B40" s="122"/>
      <c r="C40" s="141" t="s">
        <v>1280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>
      <c r="A41" s="123" t="s">
        <v>1442</v>
      </c>
      <c r="B41" s="122"/>
      <c r="C41" s="130" t="s">
        <v>1281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>
      <c r="A42" s="90" t="s">
        <v>1439</v>
      </c>
      <c r="B42" s="122"/>
      <c r="C42" s="101" t="s">
        <v>1281</v>
      </c>
      <c r="D42" s="28"/>
      <c r="E42" s="28"/>
      <c r="F42" s="28"/>
      <c r="G42" s="28"/>
      <c r="H42" s="28"/>
      <c r="I42" s="28"/>
      <c r="J42" s="28"/>
      <c r="K42" s="28"/>
      <c r="L42" s="28"/>
      <c r="M42" s="28">
        <v>6409</v>
      </c>
      <c r="N42" s="28"/>
      <c r="O42" s="28">
        <f>M42+N42</f>
        <v>6409</v>
      </c>
      <c r="P42" s="28"/>
      <c r="Q42" s="28">
        <f>O42+P42</f>
        <v>6409</v>
      </c>
      <c r="R42" s="28"/>
      <c r="S42" s="28">
        <f>Q42+R42</f>
        <v>6409</v>
      </c>
      <c r="T42" s="28"/>
      <c r="U42" s="28">
        <f>S42+T42</f>
        <v>6409</v>
      </c>
    </row>
    <row r="43" spans="1:21">
      <c r="A43" s="90" t="s">
        <v>1451</v>
      </c>
      <c r="B43" s="122"/>
      <c r="C43" s="142" t="s">
        <v>1282</v>
      </c>
      <c r="D43" s="28"/>
      <c r="E43" s="28"/>
      <c r="F43" s="28"/>
      <c r="G43" s="28"/>
      <c r="H43" s="28"/>
      <c r="I43" s="28"/>
      <c r="J43" s="28"/>
      <c r="K43" s="28"/>
      <c r="L43" s="28"/>
      <c r="M43" s="28">
        <v>1573</v>
      </c>
      <c r="N43" s="28"/>
      <c r="O43" s="28">
        <f>M43+N43</f>
        <v>1573</v>
      </c>
      <c r="P43" s="28"/>
      <c r="Q43" s="28">
        <f>O43+P43</f>
        <v>1573</v>
      </c>
      <c r="R43" s="28"/>
      <c r="S43" s="28">
        <f>Q43+R43</f>
        <v>1573</v>
      </c>
      <c r="T43" s="28"/>
      <c r="U43" s="28">
        <f>S43+T43</f>
        <v>1573</v>
      </c>
    </row>
    <row r="44" spans="1:21">
      <c r="A44" s="123" t="s">
        <v>1441</v>
      </c>
      <c r="B44" s="122"/>
      <c r="C44" s="130" t="s">
        <v>1292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>
      <c r="A45" s="90" t="s">
        <v>1433</v>
      </c>
      <c r="B45" s="122"/>
      <c r="C45" s="147" t="s">
        <v>1293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>
      <c r="A46" s="90" t="s">
        <v>1434</v>
      </c>
      <c r="B46" s="122"/>
      <c r="C46" s="147" t="s">
        <v>1532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A47" s="90" t="s">
        <v>1454</v>
      </c>
      <c r="B47" s="122"/>
      <c r="C47" s="147" t="s">
        <v>1294</v>
      </c>
      <c r="D47" s="28">
        <v>2411</v>
      </c>
      <c r="E47" s="28"/>
      <c r="F47" s="28">
        <f>D47+E47</f>
        <v>2411</v>
      </c>
      <c r="G47" s="28"/>
      <c r="H47" s="28">
        <f>F47+G47</f>
        <v>2411</v>
      </c>
      <c r="I47" s="28"/>
      <c r="J47" s="28">
        <f>H47+I47</f>
        <v>2411</v>
      </c>
      <c r="K47" s="28"/>
      <c r="L47" s="28">
        <f>J47+K47</f>
        <v>2411</v>
      </c>
      <c r="M47" s="28"/>
      <c r="N47" s="28"/>
      <c r="O47" s="28"/>
      <c r="P47" s="28"/>
      <c r="Q47" s="28"/>
      <c r="R47" s="28"/>
      <c r="S47" s="28"/>
      <c r="T47" s="28"/>
      <c r="U47" s="28"/>
    </row>
    <row r="48" spans="1:21">
      <c r="A48" s="90" t="s">
        <v>1436</v>
      </c>
      <c r="B48" s="122"/>
      <c r="C48" s="147" t="s">
        <v>1437</v>
      </c>
      <c r="D48" s="28">
        <v>672</v>
      </c>
      <c r="E48" s="28"/>
      <c r="F48" s="28">
        <f>D48+E48</f>
        <v>672</v>
      </c>
      <c r="G48" s="28"/>
      <c r="H48" s="28">
        <f>F48+G48</f>
        <v>672</v>
      </c>
      <c r="I48" s="28"/>
      <c r="J48" s="28">
        <f>H48+I48</f>
        <v>672</v>
      </c>
      <c r="K48" s="28"/>
      <c r="L48" s="28">
        <f>J48+K48</f>
        <v>672</v>
      </c>
      <c r="M48" s="28"/>
      <c r="N48" s="28"/>
      <c r="O48" s="28"/>
      <c r="P48" s="28"/>
      <c r="Q48" s="28"/>
      <c r="R48" s="28"/>
      <c r="S48" s="28"/>
      <c r="T48" s="28"/>
      <c r="U48" s="28"/>
    </row>
    <row r="49" spans="1:21">
      <c r="A49" s="90"/>
      <c r="B49" s="122"/>
      <c r="C49" s="130" t="s">
        <v>1318</v>
      </c>
      <c r="D49" s="30">
        <f>SUM(D45:D48)</f>
        <v>3083</v>
      </c>
      <c r="E49" s="30">
        <f>SUM(E45:E48)</f>
        <v>0</v>
      </c>
      <c r="F49" s="30">
        <f>SUM(F45:F48)</f>
        <v>3083</v>
      </c>
      <c r="G49" s="30"/>
      <c r="H49" s="30">
        <f>SUM(H45:H48)</f>
        <v>3083</v>
      </c>
      <c r="I49" s="30"/>
      <c r="J49" s="30">
        <f>SUM(J45:J48)</f>
        <v>3083</v>
      </c>
      <c r="K49" s="30">
        <f>SUM(K45:K48)</f>
        <v>0</v>
      </c>
      <c r="L49" s="30">
        <f>SUM(L45:L48)</f>
        <v>3083</v>
      </c>
      <c r="M49" s="30">
        <f>SUM(M42:M43)</f>
        <v>7982</v>
      </c>
      <c r="N49" s="30">
        <f>SUM(N42:N43)</f>
        <v>0</v>
      </c>
      <c r="O49" s="30">
        <f>SUM(O42:O43)</f>
        <v>7982</v>
      </c>
      <c r="P49" s="30"/>
      <c r="Q49" s="30">
        <f>SUM(Q42:Q43)</f>
        <v>7982</v>
      </c>
      <c r="R49" s="30"/>
      <c r="S49" s="30">
        <f>SUM(S42:S43)</f>
        <v>7982</v>
      </c>
      <c r="T49" s="30">
        <f>SUM(T42:T43)</f>
        <v>0</v>
      </c>
      <c r="U49" s="30">
        <f>SUM(U42:U43)</f>
        <v>7982</v>
      </c>
    </row>
    <row r="50" spans="1:21">
      <c r="A50" s="90"/>
      <c r="B50" s="122"/>
      <c r="C50" s="130"/>
      <c r="D50" s="28"/>
      <c r="E50" s="28"/>
      <c r="F50" s="28"/>
      <c r="G50" s="28"/>
      <c r="H50" s="28"/>
      <c r="I50" s="28"/>
      <c r="J50" s="28"/>
      <c r="K50" s="28"/>
      <c r="L50" s="28"/>
      <c r="M50" s="30"/>
      <c r="N50" s="30"/>
      <c r="O50" s="30"/>
      <c r="P50" s="30"/>
      <c r="Q50" s="30"/>
      <c r="R50" s="30"/>
      <c r="S50" s="30"/>
      <c r="T50" s="30"/>
      <c r="U50" s="30"/>
    </row>
    <row r="51" spans="1:21">
      <c r="A51" s="189"/>
      <c r="B51" s="190" t="s">
        <v>10</v>
      </c>
      <c r="C51" s="193" t="s">
        <v>0</v>
      </c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</row>
    <row r="52" spans="1:21">
      <c r="A52" s="123" t="s">
        <v>1442</v>
      </c>
      <c r="B52" s="122"/>
      <c r="C52" s="130" t="s">
        <v>1281</v>
      </c>
      <c r="D52" s="28"/>
      <c r="E52" s="28"/>
      <c r="F52" s="28"/>
      <c r="G52" s="28"/>
      <c r="H52" s="28"/>
      <c r="I52" s="28"/>
      <c r="J52" s="28"/>
      <c r="K52" s="28"/>
      <c r="L52" s="28"/>
      <c r="M52" s="30"/>
      <c r="N52" s="30"/>
      <c r="O52" s="30"/>
      <c r="P52" s="30"/>
      <c r="Q52" s="30"/>
      <c r="R52" s="30"/>
      <c r="S52" s="30"/>
      <c r="T52" s="30"/>
      <c r="U52" s="30"/>
    </row>
    <row r="53" spans="1:21">
      <c r="A53" s="90" t="s">
        <v>1439</v>
      </c>
      <c r="B53" s="122"/>
      <c r="C53" s="147" t="s">
        <v>1281</v>
      </c>
      <c r="D53" s="28"/>
      <c r="E53" s="28"/>
      <c r="F53" s="28">
        <f>D53+E53</f>
        <v>0</v>
      </c>
      <c r="G53" s="28"/>
      <c r="H53" s="28">
        <f>F53+G53</f>
        <v>0</v>
      </c>
      <c r="I53" s="28"/>
      <c r="J53" s="28">
        <f>H53+I53</f>
        <v>0</v>
      </c>
      <c r="K53" s="28"/>
      <c r="L53" s="28">
        <f>J53+K53</f>
        <v>0</v>
      </c>
      <c r="M53" s="32">
        <v>1003</v>
      </c>
      <c r="N53" s="32"/>
      <c r="O53" s="32">
        <f>M53+N53</f>
        <v>1003</v>
      </c>
      <c r="P53" s="32"/>
      <c r="Q53" s="32">
        <f>O53+P53</f>
        <v>1003</v>
      </c>
      <c r="R53" s="32"/>
      <c r="S53" s="32">
        <f>Q53+R53</f>
        <v>1003</v>
      </c>
      <c r="T53" s="32"/>
      <c r="U53" s="32">
        <f>S53+T53</f>
        <v>1003</v>
      </c>
    </row>
    <row r="54" spans="1:21">
      <c r="A54" s="90" t="s">
        <v>1451</v>
      </c>
      <c r="B54" s="122"/>
      <c r="C54" s="147" t="s">
        <v>1282</v>
      </c>
      <c r="D54" s="28"/>
      <c r="E54" s="28"/>
      <c r="F54" s="28">
        <f>D54+E54</f>
        <v>0</v>
      </c>
      <c r="G54" s="28"/>
      <c r="H54" s="28">
        <f>F54+G54</f>
        <v>0</v>
      </c>
      <c r="I54" s="28"/>
      <c r="J54" s="28">
        <f>H54+I54</f>
        <v>0</v>
      </c>
      <c r="K54" s="28"/>
      <c r="L54" s="28">
        <f>J54+K54</f>
        <v>0</v>
      </c>
      <c r="M54" s="30"/>
      <c r="N54" s="30"/>
      <c r="O54" s="32">
        <f>M54+N54</f>
        <v>0</v>
      </c>
      <c r="P54" s="30"/>
      <c r="Q54" s="32">
        <f>O54+P54</f>
        <v>0</v>
      </c>
      <c r="R54" s="30"/>
      <c r="S54" s="32">
        <f>Q54+R54</f>
        <v>0</v>
      </c>
      <c r="T54" s="30"/>
      <c r="U54" s="32">
        <f>S54+T54</f>
        <v>0</v>
      </c>
    </row>
    <row r="55" spans="1:21">
      <c r="A55" s="90"/>
      <c r="B55" s="122"/>
      <c r="C55" s="130" t="s">
        <v>1318</v>
      </c>
      <c r="D55" s="30">
        <f t="shared" ref="D55:O55" si="0">SUM(D53:D54)</f>
        <v>0</v>
      </c>
      <c r="E55" s="30">
        <f t="shared" si="0"/>
        <v>0</v>
      </c>
      <c r="F55" s="30">
        <f t="shared" si="0"/>
        <v>0</v>
      </c>
      <c r="G55" s="30"/>
      <c r="H55" s="30">
        <f>SUM(H53:H54)</f>
        <v>0</v>
      </c>
      <c r="I55" s="30"/>
      <c r="J55" s="30">
        <f>SUM(J53:J54)</f>
        <v>0</v>
      </c>
      <c r="K55" s="30">
        <f>SUM(K53:K54)</f>
        <v>0</v>
      </c>
      <c r="L55" s="30">
        <f>SUM(L53:L54)</f>
        <v>0</v>
      </c>
      <c r="M55" s="30">
        <f t="shared" si="0"/>
        <v>1003</v>
      </c>
      <c r="N55" s="30">
        <f t="shared" si="0"/>
        <v>0</v>
      </c>
      <c r="O55" s="30">
        <f t="shared" si="0"/>
        <v>1003</v>
      </c>
      <c r="P55" s="30"/>
      <c r="Q55" s="30">
        <f>SUM(Q53:Q54)</f>
        <v>1003</v>
      </c>
      <c r="R55" s="30"/>
      <c r="S55" s="30">
        <f>SUM(S53:S54)</f>
        <v>1003</v>
      </c>
      <c r="T55" s="30">
        <f>SUM(T53:T54)</f>
        <v>0</v>
      </c>
      <c r="U55" s="30">
        <f>SUM(U53:U54)</f>
        <v>1003</v>
      </c>
    </row>
    <row r="56" spans="1:21">
      <c r="A56" s="90"/>
      <c r="B56" s="122"/>
      <c r="C56" s="1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>
      <c r="A57" s="189"/>
      <c r="B57" s="190" t="s">
        <v>18</v>
      </c>
      <c r="C57" s="193" t="s">
        <v>21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</row>
    <row r="58" spans="1:21">
      <c r="A58" s="90"/>
      <c r="B58" s="122"/>
      <c r="C58" s="141" t="s">
        <v>1280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>
      <c r="A59" s="123" t="s">
        <v>1442</v>
      </c>
      <c r="B59" s="122"/>
      <c r="C59" s="130" t="s">
        <v>1603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9.5">
      <c r="A60" s="90" t="s">
        <v>1455</v>
      </c>
      <c r="B60" s="122"/>
      <c r="C60" s="131" t="s">
        <v>1261</v>
      </c>
      <c r="D60" s="28"/>
      <c r="E60" s="28"/>
      <c r="F60" s="28"/>
      <c r="G60" s="28"/>
      <c r="H60" s="28"/>
      <c r="I60" s="28"/>
      <c r="J60" s="28"/>
      <c r="K60" s="28"/>
      <c r="L60" s="28"/>
      <c r="M60" s="28">
        <v>32713</v>
      </c>
      <c r="N60" s="33">
        <f>664+645</f>
        <v>1309</v>
      </c>
      <c r="O60" s="28">
        <f>M60+N60</f>
        <v>34022</v>
      </c>
      <c r="P60" s="33"/>
      <c r="Q60" s="28">
        <f>O60+P60</f>
        <v>34022</v>
      </c>
      <c r="R60" s="33">
        <v>144</v>
      </c>
      <c r="S60" s="28">
        <f>Q60+R60</f>
        <v>34166</v>
      </c>
      <c r="T60" s="33">
        <v>-183</v>
      </c>
      <c r="U60" s="28">
        <f>S60+T60</f>
        <v>33983</v>
      </c>
    </row>
    <row r="61" spans="1:21">
      <c r="A61" s="123" t="s">
        <v>1442</v>
      </c>
      <c r="B61" s="122"/>
      <c r="C61" s="96" t="s">
        <v>1558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3"/>
      <c r="O61" s="28">
        <f>M61+N61</f>
        <v>0</v>
      </c>
      <c r="P61" s="33"/>
      <c r="Q61" s="28">
        <f>O61+P61</f>
        <v>0</v>
      </c>
      <c r="R61" s="33"/>
      <c r="S61" s="28">
        <f>Q61+R61</f>
        <v>0</v>
      </c>
      <c r="T61" s="33"/>
      <c r="U61" s="28">
        <f>S61+T61</f>
        <v>0</v>
      </c>
    </row>
    <row r="62" spans="1:21" ht="29.25">
      <c r="A62" s="90" t="s">
        <v>1438</v>
      </c>
      <c r="B62" s="122"/>
      <c r="C62" s="131" t="s">
        <v>1604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3">
        <v>122</v>
      </c>
      <c r="O62" s="28">
        <f>M62+N62</f>
        <v>122</v>
      </c>
      <c r="P62" s="33"/>
      <c r="Q62" s="28">
        <f>O62+P62</f>
        <v>122</v>
      </c>
      <c r="R62" s="33"/>
      <c r="S62" s="28">
        <f>Q62+R62</f>
        <v>122</v>
      </c>
      <c r="T62" s="33"/>
      <c r="U62" s="28">
        <f>S62+T62</f>
        <v>122</v>
      </c>
    </row>
    <row r="63" spans="1:21">
      <c r="A63" s="90"/>
      <c r="B63" s="122"/>
      <c r="C63" s="130" t="s">
        <v>1318</v>
      </c>
      <c r="D63" s="30">
        <f>SUM(D62)</f>
        <v>0</v>
      </c>
      <c r="E63" s="30">
        <f>SUM(E62)</f>
        <v>0</v>
      </c>
      <c r="F63" s="30">
        <f>SUM(F62)</f>
        <v>0</v>
      </c>
      <c r="G63" s="30"/>
      <c r="H63" s="30">
        <f>SUM(H62)</f>
        <v>0</v>
      </c>
      <c r="I63" s="30"/>
      <c r="J63" s="30">
        <f>SUM(J62)</f>
        <v>0</v>
      </c>
      <c r="K63" s="30">
        <f>SUM(K62)</f>
        <v>0</v>
      </c>
      <c r="L63" s="30">
        <f>SUM(L62)</f>
        <v>0</v>
      </c>
      <c r="M63" s="30">
        <f>SUM(M60:M62)</f>
        <v>32713</v>
      </c>
      <c r="N63" s="30">
        <f>SUM(N60:N62)</f>
        <v>1431</v>
      </c>
      <c r="O63" s="30">
        <f>SUM(O60:O62)</f>
        <v>34144</v>
      </c>
      <c r="P63" s="30"/>
      <c r="Q63" s="30">
        <f>SUM(Q60:Q62)</f>
        <v>34144</v>
      </c>
      <c r="R63" s="30">
        <f>SUM(R60:R62)</f>
        <v>144</v>
      </c>
      <c r="S63" s="30">
        <f>SUM(S60:S62)</f>
        <v>34288</v>
      </c>
      <c r="T63" s="30">
        <f>SUM(T60:T62)</f>
        <v>-183</v>
      </c>
      <c r="U63" s="30">
        <f>SUM(U60:U62)</f>
        <v>34105</v>
      </c>
    </row>
    <row r="64" spans="1:21">
      <c r="A64" s="90"/>
      <c r="B64" s="122"/>
      <c r="C64" s="130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24" customHeight="1">
      <c r="A65" s="189"/>
      <c r="B65" s="190" t="s">
        <v>62</v>
      </c>
      <c r="C65" s="288" t="s">
        <v>63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90"/>
    </row>
    <row r="66" spans="1:21">
      <c r="A66" s="90"/>
      <c r="B66" s="122"/>
      <c r="C66" s="141" t="s">
        <v>1280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>
      <c r="A67" s="123" t="s">
        <v>1441</v>
      </c>
      <c r="B67" s="122"/>
      <c r="C67" s="130" t="s">
        <v>1292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>
      <c r="A68" s="90" t="s">
        <v>1433</v>
      </c>
      <c r="B68" s="122"/>
      <c r="C68" s="142" t="s">
        <v>1293</v>
      </c>
      <c r="D68" s="28">
        <v>11717</v>
      </c>
      <c r="E68" s="28"/>
      <c r="F68" s="28">
        <f>D68+E68</f>
        <v>11717</v>
      </c>
      <c r="G68" s="28"/>
      <c r="H68" s="28">
        <f>F68+G68</f>
        <v>11717</v>
      </c>
      <c r="I68" s="28"/>
      <c r="J68" s="28">
        <f>H68+I68</f>
        <v>11717</v>
      </c>
      <c r="K68" s="28">
        <v>522</v>
      </c>
      <c r="L68" s="28">
        <f>J68+K68</f>
        <v>12239</v>
      </c>
      <c r="M68" s="28"/>
      <c r="N68" s="28"/>
      <c r="O68" s="28"/>
      <c r="P68" s="28"/>
      <c r="Q68" s="28"/>
      <c r="R68" s="28"/>
      <c r="S68" s="28"/>
      <c r="T68" s="28"/>
      <c r="U68" s="28"/>
    </row>
    <row r="69" spans="1:21">
      <c r="A69" s="90" t="s">
        <v>1434</v>
      </c>
      <c r="B69" s="122"/>
      <c r="C69" s="101" t="s">
        <v>1435</v>
      </c>
      <c r="D69" s="28">
        <v>3132</v>
      </c>
      <c r="E69" s="28"/>
      <c r="F69" s="28">
        <f>D69+E69</f>
        <v>3132</v>
      </c>
      <c r="G69" s="28"/>
      <c r="H69" s="28">
        <f>F69+G69</f>
        <v>3132</v>
      </c>
      <c r="I69" s="28"/>
      <c r="J69" s="28">
        <f>H69+I69</f>
        <v>3132</v>
      </c>
      <c r="K69" s="28">
        <v>58</v>
      </c>
      <c r="L69" s="28">
        <f>J69+K69</f>
        <v>3190</v>
      </c>
      <c r="M69" s="28"/>
      <c r="N69" s="28"/>
      <c r="O69" s="28"/>
      <c r="P69" s="28"/>
      <c r="Q69" s="28"/>
      <c r="R69" s="28"/>
      <c r="S69" s="28"/>
      <c r="T69" s="28"/>
      <c r="U69" s="28"/>
    </row>
    <row r="70" spans="1:21">
      <c r="A70" s="90" t="s">
        <v>1454</v>
      </c>
      <c r="B70" s="122"/>
      <c r="C70" s="142" t="s">
        <v>1294</v>
      </c>
      <c r="D70" s="28">
        <v>871</v>
      </c>
      <c r="E70" s="33">
        <f>122+645</f>
        <v>767</v>
      </c>
      <c r="F70" s="28">
        <f>D70+E70</f>
        <v>1638</v>
      </c>
      <c r="G70" s="28"/>
      <c r="H70" s="28">
        <f>F70+G70</f>
        <v>1638</v>
      </c>
      <c r="I70" s="28"/>
      <c r="J70" s="28">
        <f>H70+I70</f>
        <v>1638</v>
      </c>
      <c r="K70" s="28"/>
      <c r="L70" s="28">
        <f>J70+K70</f>
        <v>1638</v>
      </c>
      <c r="M70" s="28"/>
      <c r="N70" s="28"/>
      <c r="O70" s="28"/>
      <c r="P70" s="28"/>
      <c r="Q70" s="28"/>
      <c r="R70" s="28"/>
      <c r="S70" s="28"/>
      <c r="T70" s="28"/>
      <c r="U70" s="28"/>
    </row>
    <row r="71" spans="1:21">
      <c r="A71" s="90" t="s">
        <v>1436</v>
      </c>
      <c r="B71" s="122"/>
      <c r="C71" s="147" t="s">
        <v>1437</v>
      </c>
      <c r="D71" s="28">
        <v>276</v>
      </c>
      <c r="E71" s="28"/>
      <c r="F71" s="28">
        <f>D71+E71</f>
        <v>276</v>
      </c>
      <c r="G71" s="28"/>
      <c r="H71" s="28">
        <f>F71+G71</f>
        <v>276</v>
      </c>
      <c r="I71" s="28"/>
      <c r="J71" s="28">
        <f>H71+I71</f>
        <v>276</v>
      </c>
      <c r="K71" s="28"/>
      <c r="L71" s="28">
        <f>J71+K71</f>
        <v>276</v>
      </c>
      <c r="M71" s="28"/>
      <c r="N71" s="28"/>
      <c r="O71" s="28"/>
      <c r="P71" s="28"/>
      <c r="Q71" s="28"/>
      <c r="R71" s="28"/>
      <c r="S71" s="28"/>
      <c r="T71" s="28"/>
      <c r="U71" s="28"/>
    </row>
    <row r="72" spans="1:21">
      <c r="A72" s="123" t="s">
        <v>1442</v>
      </c>
      <c r="B72" s="122"/>
      <c r="C72" s="150" t="s">
        <v>1281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>
      <c r="A73" s="90" t="s">
        <v>1439</v>
      </c>
      <c r="B73" s="122"/>
      <c r="C73" s="101" t="s">
        <v>1281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>
        <f>M73+N73</f>
        <v>0</v>
      </c>
      <c r="P73" s="28"/>
      <c r="Q73" s="28">
        <f>O73+P73</f>
        <v>0</v>
      </c>
      <c r="R73" s="28"/>
      <c r="S73" s="28">
        <f>Q73+R73</f>
        <v>0</v>
      </c>
      <c r="T73" s="28"/>
      <c r="U73" s="28">
        <f>S73+T73</f>
        <v>0</v>
      </c>
    </row>
    <row r="74" spans="1:21">
      <c r="A74" s="90" t="s">
        <v>1451</v>
      </c>
      <c r="B74" s="122"/>
      <c r="C74" s="101" t="s">
        <v>1282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>
        <f>M74+N74</f>
        <v>0</v>
      </c>
      <c r="P74" s="28"/>
      <c r="Q74" s="28">
        <f>O74+P74</f>
        <v>0</v>
      </c>
      <c r="R74" s="28"/>
      <c r="S74" s="28">
        <f>Q74+R74</f>
        <v>0</v>
      </c>
      <c r="T74" s="28"/>
      <c r="U74" s="28">
        <f>S74+T74</f>
        <v>0</v>
      </c>
    </row>
    <row r="75" spans="1:21">
      <c r="A75" s="90"/>
      <c r="B75" s="122"/>
      <c r="C75" s="130" t="s">
        <v>1318</v>
      </c>
      <c r="D75" s="30">
        <f t="shared" ref="D75:O75" si="1">SUM(D68:D74)</f>
        <v>15996</v>
      </c>
      <c r="E75" s="30">
        <f t="shared" si="1"/>
        <v>767</v>
      </c>
      <c r="F75" s="30">
        <f t="shared" si="1"/>
        <v>16763</v>
      </c>
      <c r="G75" s="30"/>
      <c r="H75" s="30">
        <f>SUM(H68:H74)</f>
        <v>16763</v>
      </c>
      <c r="I75" s="30"/>
      <c r="J75" s="30">
        <f>SUM(J68:J74)</f>
        <v>16763</v>
      </c>
      <c r="K75" s="30">
        <f>SUM(K68:K74)</f>
        <v>580</v>
      </c>
      <c r="L75" s="30">
        <f>SUM(L68:L74)</f>
        <v>17343</v>
      </c>
      <c r="M75" s="30">
        <f t="shared" si="1"/>
        <v>0</v>
      </c>
      <c r="N75" s="30">
        <f t="shared" si="1"/>
        <v>0</v>
      </c>
      <c r="O75" s="30">
        <f t="shared" si="1"/>
        <v>0</v>
      </c>
      <c r="P75" s="30"/>
      <c r="Q75" s="30">
        <f>SUM(Q68:Q74)</f>
        <v>0</v>
      </c>
      <c r="R75" s="30"/>
      <c r="S75" s="30">
        <f>SUM(S68:S74)</f>
        <v>0</v>
      </c>
      <c r="T75" s="30">
        <f>SUM(T68:T74)</f>
        <v>0</v>
      </c>
      <c r="U75" s="30">
        <f>SUM(U68:U74)</f>
        <v>0</v>
      </c>
    </row>
    <row r="76" spans="1:21">
      <c r="A76" s="90"/>
      <c r="B76" s="122"/>
      <c r="C76" s="13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24" customHeight="1">
      <c r="A77" s="189"/>
      <c r="B77" s="190" t="s">
        <v>62</v>
      </c>
      <c r="C77" s="288" t="s">
        <v>64</v>
      </c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90"/>
    </row>
    <row r="78" spans="1:21">
      <c r="A78" s="90"/>
      <c r="B78" s="122"/>
      <c r="C78" s="141" t="s">
        <v>1280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>
      <c r="A79" s="123" t="s">
        <v>1441</v>
      </c>
      <c r="B79" s="122"/>
      <c r="C79" s="130" t="s">
        <v>1292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>
      <c r="A80" s="90" t="s">
        <v>1433</v>
      </c>
      <c r="B80" s="122"/>
      <c r="C80" s="142" t="s">
        <v>1293</v>
      </c>
      <c r="D80" s="28">
        <v>51</v>
      </c>
      <c r="E80" s="28"/>
      <c r="F80" s="28">
        <f>D80+E80</f>
        <v>51</v>
      </c>
      <c r="G80" s="28"/>
      <c r="H80" s="28">
        <f>F80+G80</f>
        <v>51</v>
      </c>
      <c r="I80" s="28"/>
      <c r="J80" s="28">
        <f>H80+I80</f>
        <v>51</v>
      </c>
      <c r="K80" s="28"/>
      <c r="L80" s="28">
        <f>J80+K80</f>
        <v>51</v>
      </c>
      <c r="M80" s="28"/>
      <c r="N80" s="28"/>
      <c r="O80" s="28"/>
      <c r="P80" s="28"/>
      <c r="Q80" s="28"/>
      <c r="R80" s="28"/>
      <c r="S80" s="28"/>
      <c r="T80" s="28"/>
      <c r="U80" s="28"/>
    </row>
    <row r="81" spans="1:21">
      <c r="A81" s="90" t="s">
        <v>1434</v>
      </c>
      <c r="B81" s="122"/>
      <c r="C81" s="101" t="s">
        <v>1435</v>
      </c>
      <c r="D81" s="28">
        <v>14</v>
      </c>
      <c r="E81" s="28"/>
      <c r="F81" s="28">
        <f>D81+E81</f>
        <v>14</v>
      </c>
      <c r="G81" s="28"/>
      <c r="H81" s="28">
        <f>F81+G81</f>
        <v>14</v>
      </c>
      <c r="I81" s="28"/>
      <c r="J81" s="28">
        <f>H81+I81</f>
        <v>14</v>
      </c>
      <c r="K81" s="28"/>
      <c r="L81" s="28">
        <f>J81+K81</f>
        <v>14</v>
      </c>
      <c r="M81" s="28"/>
      <c r="N81" s="28"/>
      <c r="O81" s="28"/>
      <c r="P81" s="28"/>
      <c r="Q81" s="28"/>
      <c r="R81" s="28"/>
      <c r="S81" s="28"/>
      <c r="T81" s="28"/>
      <c r="U81" s="28"/>
    </row>
    <row r="82" spans="1:21">
      <c r="A82" s="90"/>
      <c r="B82" s="122"/>
      <c r="C82" s="130" t="s">
        <v>1318</v>
      </c>
      <c r="D82" s="30">
        <f>SUM(D80:D81)</f>
        <v>65</v>
      </c>
      <c r="E82" s="30">
        <f>SUM(E80:E81)</f>
        <v>0</v>
      </c>
      <c r="F82" s="30">
        <f>SUM(F80:F81)</f>
        <v>65</v>
      </c>
      <c r="G82" s="30"/>
      <c r="H82" s="30">
        <f>SUM(H80:H81)</f>
        <v>65</v>
      </c>
      <c r="I82" s="30"/>
      <c r="J82" s="30">
        <f>SUM(J80:J81)</f>
        <v>65</v>
      </c>
      <c r="K82" s="30">
        <f>SUM(K80:K81)</f>
        <v>0</v>
      </c>
      <c r="L82" s="30">
        <f>SUM(L80:L81)</f>
        <v>65</v>
      </c>
      <c r="M82" s="28"/>
      <c r="N82" s="28"/>
      <c r="O82" s="28"/>
      <c r="P82" s="28"/>
      <c r="Q82" s="28"/>
      <c r="R82" s="28"/>
      <c r="S82" s="28"/>
      <c r="T82" s="28"/>
      <c r="U82" s="28"/>
    </row>
    <row r="83" spans="1:21">
      <c r="A83" s="90"/>
      <c r="B83" s="122"/>
      <c r="C83" s="130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6.5" customHeight="1">
      <c r="A84" s="189"/>
      <c r="B84" s="190" t="s">
        <v>48</v>
      </c>
      <c r="C84" s="310" t="s">
        <v>61</v>
      </c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2"/>
    </row>
    <row r="85" spans="1:21">
      <c r="A85" s="90"/>
      <c r="B85" s="122"/>
      <c r="C85" s="141" t="s">
        <v>1280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>
      <c r="A86" s="123" t="s">
        <v>1442</v>
      </c>
      <c r="B86" s="122"/>
      <c r="C86" s="130" t="s">
        <v>1281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>
      <c r="A87" s="90" t="s">
        <v>1439</v>
      </c>
      <c r="B87" s="122"/>
      <c r="C87" s="101" t="s">
        <v>1281</v>
      </c>
      <c r="D87" s="28"/>
      <c r="E87" s="28"/>
      <c r="F87" s="28"/>
      <c r="G87" s="28"/>
      <c r="H87" s="28"/>
      <c r="I87" s="28"/>
      <c r="J87" s="28"/>
      <c r="K87" s="28"/>
      <c r="L87" s="28"/>
      <c r="M87" s="28">
        <v>115</v>
      </c>
      <c r="N87" s="28"/>
      <c r="O87" s="28">
        <f>M87+N87</f>
        <v>115</v>
      </c>
      <c r="P87" s="28"/>
      <c r="Q87" s="28">
        <f>O87+P87</f>
        <v>115</v>
      </c>
      <c r="R87" s="28"/>
      <c r="S87" s="28">
        <f>Q87+R87</f>
        <v>115</v>
      </c>
      <c r="T87" s="28"/>
      <c r="U87" s="28">
        <f>S87+T87</f>
        <v>115</v>
      </c>
    </row>
    <row r="88" spans="1:21">
      <c r="A88" s="90" t="s">
        <v>1451</v>
      </c>
      <c r="B88" s="122"/>
      <c r="C88" s="142" t="s">
        <v>1282</v>
      </c>
      <c r="D88" s="28"/>
      <c r="E88" s="28"/>
      <c r="F88" s="28"/>
      <c r="G88" s="28"/>
      <c r="H88" s="28"/>
      <c r="I88" s="28"/>
      <c r="J88" s="28"/>
      <c r="K88" s="28"/>
      <c r="L88" s="28"/>
      <c r="M88" s="28">
        <v>584</v>
      </c>
      <c r="N88" s="28"/>
      <c r="O88" s="28">
        <f>M88+N88</f>
        <v>584</v>
      </c>
      <c r="P88" s="28"/>
      <c r="Q88" s="28">
        <f>O88+P88</f>
        <v>584</v>
      </c>
      <c r="R88" s="28"/>
      <c r="S88" s="28">
        <f>Q88+R88</f>
        <v>584</v>
      </c>
      <c r="T88" s="28"/>
      <c r="U88" s="28">
        <f>S88+T88</f>
        <v>584</v>
      </c>
    </row>
    <row r="89" spans="1:21">
      <c r="A89" s="90" t="s">
        <v>1548</v>
      </c>
      <c r="B89" s="122"/>
      <c r="C89" s="101" t="s">
        <v>80</v>
      </c>
      <c r="D89" s="28"/>
      <c r="E89" s="28"/>
      <c r="F89" s="28"/>
      <c r="G89" s="28"/>
      <c r="H89" s="28"/>
      <c r="I89" s="28"/>
      <c r="J89" s="28"/>
      <c r="K89" s="28"/>
      <c r="L89" s="28"/>
      <c r="M89" s="28">
        <v>2840</v>
      </c>
      <c r="N89" s="28"/>
      <c r="O89" s="28">
        <f>M89+N89</f>
        <v>2840</v>
      </c>
      <c r="P89" s="28"/>
      <c r="Q89" s="28">
        <f>O89+P89</f>
        <v>2840</v>
      </c>
      <c r="R89" s="28"/>
      <c r="S89" s="28">
        <f>Q89+R89</f>
        <v>2840</v>
      </c>
      <c r="T89" s="28"/>
      <c r="U89" s="28">
        <f>S89+T89</f>
        <v>2840</v>
      </c>
    </row>
    <row r="90" spans="1:21">
      <c r="A90" s="123" t="s">
        <v>1441</v>
      </c>
      <c r="B90" s="122"/>
      <c r="C90" s="130" t="s">
        <v>1292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>
      <c r="A91" s="90" t="s">
        <v>1433</v>
      </c>
      <c r="B91" s="122"/>
      <c r="C91" s="142" t="s">
        <v>1293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>
      <c r="A92" s="90" t="s">
        <v>1434</v>
      </c>
      <c r="B92" s="122"/>
      <c r="C92" s="101" t="s">
        <v>1435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>
      <c r="A93" s="90" t="s">
        <v>1454</v>
      </c>
      <c r="B93" s="122"/>
      <c r="C93" s="142" t="s">
        <v>1294</v>
      </c>
      <c r="D93" s="28">
        <v>1019</v>
      </c>
      <c r="E93" s="28"/>
      <c r="F93" s="28">
        <f>D93+E93</f>
        <v>1019</v>
      </c>
      <c r="G93" s="28"/>
      <c r="H93" s="28">
        <f>F93+G93</f>
        <v>1019</v>
      </c>
      <c r="I93" s="28"/>
      <c r="J93" s="28">
        <f>H93+I93</f>
        <v>1019</v>
      </c>
      <c r="K93" s="28"/>
      <c r="L93" s="28">
        <f>J93+K93</f>
        <v>1019</v>
      </c>
      <c r="M93" s="28"/>
      <c r="N93" s="28"/>
      <c r="O93" s="28"/>
      <c r="P93" s="28"/>
      <c r="Q93" s="28"/>
      <c r="R93" s="28"/>
      <c r="S93" s="28"/>
      <c r="T93" s="28"/>
      <c r="U93" s="28"/>
    </row>
    <row r="94" spans="1:21">
      <c r="A94" s="90" t="s">
        <v>1436</v>
      </c>
      <c r="B94" s="122"/>
      <c r="C94" s="101" t="s">
        <v>1437</v>
      </c>
      <c r="D94" s="28">
        <v>335</v>
      </c>
      <c r="E94" s="28"/>
      <c r="F94" s="28">
        <f>D94+E94</f>
        <v>335</v>
      </c>
      <c r="G94" s="28"/>
      <c r="H94" s="28">
        <f>F94+G94</f>
        <v>335</v>
      </c>
      <c r="I94" s="28"/>
      <c r="J94" s="28">
        <f>H94+I94</f>
        <v>335</v>
      </c>
      <c r="K94" s="28"/>
      <c r="L94" s="28">
        <f>J94+K94</f>
        <v>335</v>
      </c>
      <c r="M94" s="28"/>
      <c r="N94" s="28"/>
      <c r="O94" s="28"/>
      <c r="P94" s="28"/>
      <c r="Q94" s="28"/>
      <c r="R94" s="28"/>
      <c r="S94" s="28"/>
      <c r="T94" s="28"/>
      <c r="U94" s="28"/>
    </row>
    <row r="95" spans="1:21">
      <c r="A95" s="90"/>
      <c r="B95" s="122"/>
      <c r="C95" s="130" t="s">
        <v>1318</v>
      </c>
      <c r="D95" s="30">
        <f>SUM(D91:D94)</f>
        <v>1354</v>
      </c>
      <c r="E95" s="30">
        <f>SUM(E91:E94)</f>
        <v>0</v>
      </c>
      <c r="F95" s="30">
        <f>SUM(F91:F94)</f>
        <v>1354</v>
      </c>
      <c r="G95" s="30"/>
      <c r="H95" s="30">
        <f>SUM(H91:H94)</f>
        <v>1354</v>
      </c>
      <c r="I95" s="30"/>
      <c r="J95" s="30">
        <f>SUM(J91:J94)</f>
        <v>1354</v>
      </c>
      <c r="K95" s="30">
        <f>SUM(K91:K94)</f>
        <v>0</v>
      </c>
      <c r="L95" s="30">
        <f>SUM(L91:L94)</f>
        <v>1354</v>
      </c>
      <c r="M95" s="30">
        <f>SUM(M87:M93)</f>
        <v>3539</v>
      </c>
      <c r="N95" s="30">
        <f>SUM(N87:N93)</f>
        <v>0</v>
      </c>
      <c r="O95" s="30">
        <f>SUM(O87:O93)</f>
        <v>3539</v>
      </c>
      <c r="P95" s="30"/>
      <c r="Q95" s="30">
        <f>SUM(Q87:Q93)</f>
        <v>3539</v>
      </c>
      <c r="R95" s="30"/>
      <c r="S95" s="30">
        <f>SUM(S87:S93)</f>
        <v>3539</v>
      </c>
      <c r="T95" s="30">
        <f>SUM(T87:T93)</f>
        <v>0</v>
      </c>
      <c r="U95" s="30">
        <f>SUM(U87:U93)</f>
        <v>3539</v>
      </c>
    </row>
    <row r="96" spans="1:21">
      <c r="A96" s="90"/>
      <c r="B96" s="122"/>
      <c r="C96" s="130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>
      <c r="A97" s="189"/>
      <c r="B97" s="190" t="s">
        <v>49</v>
      </c>
      <c r="C97" s="193" t="s">
        <v>65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</row>
    <row r="98" spans="1:21">
      <c r="A98" s="90"/>
      <c r="B98" s="122"/>
      <c r="C98" s="141" t="s">
        <v>1280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>
      <c r="A99" s="123" t="s">
        <v>1442</v>
      </c>
      <c r="B99" s="122"/>
      <c r="C99" s="130" t="s">
        <v>1281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>
      <c r="A100" s="90" t="s">
        <v>1439</v>
      </c>
      <c r="B100" s="122"/>
      <c r="C100" s="101" t="s">
        <v>1281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>
        <v>44</v>
      </c>
      <c r="N100" s="28"/>
      <c r="O100" s="28">
        <f>M100+N100</f>
        <v>44</v>
      </c>
      <c r="P100" s="28"/>
      <c r="Q100" s="28">
        <f>O100+P100</f>
        <v>44</v>
      </c>
      <c r="R100" s="28"/>
      <c r="S100" s="28">
        <f>Q100+R100</f>
        <v>44</v>
      </c>
      <c r="T100" s="28"/>
      <c r="U100" s="28">
        <f>S100+T100</f>
        <v>44</v>
      </c>
    </row>
    <row r="101" spans="1:21">
      <c r="A101" s="90" t="s">
        <v>1451</v>
      </c>
      <c r="B101" s="122"/>
      <c r="C101" s="142" t="s">
        <v>1282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>
        <v>12</v>
      </c>
      <c r="N101" s="28"/>
      <c r="O101" s="28">
        <f>M101+N101</f>
        <v>12</v>
      </c>
      <c r="P101" s="28"/>
      <c r="Q101" s="28">
        <f>O101+P101</f>
        <v>12</v>
      </c>
      <c r="R101" s="28"/>
      <c r="S101" s="28">
        <f>Q101+R101</f>
        <v>12</v>
      </c>
      <c r="T101" s="28"/>
      <c r="U101" s="28">
        <f>S101+T101</f>
        <v>12</v>
      </c>
    </row>
    <row r="102" spans="1:21">
      <c r="A102" s="123" t="s">
        <v>1441</v>
      </c>
      <c r="B102" s="122"/>
      <c r="C102" s="130" t="s">
        <v>1292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>
      <c r="A103" s="90" t="s">
        <v>1433</v>
      </c>
      <c r="B103" s="122"/>
      <c r="C103" s="142" t="s">
        <v>1293</v>
      </c>
      <c r="D103" s="28">
        <v>2154</v>
      </c>
      <c r="E103" s="28">
        <v>523</v>
      </c>
      <c r="F103" s="28">
        <f>D103+E103</f>
        <v>2677</v>
      </c>
      <c r="G103" s="28"/>
      <c r="H103" s="28">
        <f>F103+G103</f>
        <v>2677</v>
      </c>
      <c r="I103" s="28"/>
      <c r="J103" s="28">
        <f>H103+I103</f>
        <v>2677</v>
      </c>
      <c r="K103" s="28">
        <v>351</v>
      </c>
      <c r="L103" s="28">
        <f>J103+K103</f>
        <v>3028</v>
      </c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>
      <c r="A104" s="90" t="s">
        <v>1434</v>
      </c>
      <c r="B104" s="122"/>
      <c r="C104" s="101" t="s">
        <v>1435</v>
      </c>
      <c r="D104" s="28">
        <v>582</v>
      </c>
      <c r="E104" s="28">
        <f>ROUND(523*27%,0)</f>
        <v>141</v>
      </c>
      <c r="F104" s="28">
        <f>D104+E104</f>
        <v>723</v>
      </c>
      <c r="G104" s="28"/>
      <c r="H104" s="28">
        <f>F104+G104</f>
        <v>723</v>
      </c>
      <c r="I104" s="28"/>
      <c r="J104" s="28">
        <f>H104+I104</f>
        <v>723</v>
      </c>
      <c r="K104" s="28">
        <v>94</v>
      </c>
      <c r="L104" s="28">
        <f>J104+K104</f>
        <v>817</v>
      </c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>
      <c r="A105" s="90" t="s">
        <v>1454</v>
      </c>
      <c r="B105" s="122"/>
      <c r="C105" s="142" t="s">
        <v>1294</v>
      </c>
      <c r="D105" s="28">
        <v>252</v>
      </c>
      <c r="E105" s="28"/>
      <c r="F105" s="28">
        <f>D105+E105</f>
        <v>252</v>
      </c>
      <c r="G105" s="28"/>
      <c r="H105" s="28">
        <f>F105+G105</f>
        <v>252</v>
      </c>
      <c r="I105" s="28">
        <v>144</v>
      </c>
      <c r="J105" s="28">
        <f>H105+I105</f>
        <v>396</v>
      </c>
      <c r="K105" s="28"/>
      <c r="L105" s="28">
        <f>J105+K105</f>
        <v>396</v>
      </c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>
      <c r="A106" s="90" t="s">
        <v>1436</v>
      </c>
      <c r="B106" s="122"/>
      <c r="C106" s="101" t="s">
        <v>1437</v>
      </c>
      <c r="D106" s="28">
        <v>68</v>
      </c>
      <c r="E106" s="28"/>
      <c r="F106" s="28">
        <f>D106+E106</f>
        <v>68</v>
      </c>
      <c r="G106" s="28"/>
      <c r="H106" s="28">
        <f>F106+G106</f>
        <v>68</v>
      </c>
      <c r="I106" s="28"/>
      <c r="J106" s="28">
        <f>H106+I106</f>
        <v>68</v>
      </c>
      <c r="K106" s="28"/>
      <c r="L106" s="28">
        <f>J106+K106</f>
        <v>68</v>
      </c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>
      <c r="A107" s="90"/>
      <c r="B107" s="122"/>
      <c r="C107" s="130" t="s">
        <v>1318</v>
      </c>
      <c r="D107" s="30">
        <f>SUM(D103:D106)</f>
        <v>3056</v>
      </c>
      <c r="E107" s="30">
        <f>SUM(E103:E106)</f>
        <v>664</v>
      </c>
      <c r="F107" s="30">
        <f>SUM(F103:F106)</f>
        <v>3720</v>
      </c>
      <c r="G107" s="30"/>
      <c r="H107" s="30">
        <f>SUM(H103:H106)</f>
        <v>3720</v>
      </c>
      <c r="I107" s="30"/>
      <c r="J107" s="30">
        <f>SUM(J103:J106)</f>
        <v>3864</v>
      </c>
      <c r="K107" s="30">
        <f>SUM(K103:K106)</f>
        <v>445</v>
      </c>
      <c r="L107" s="30">
        <f>SUM(L103:L106)</f>
        <v>4309</v>
      </c>
      <c r="M107" s="30">
        <f>SUM(M100:M106)</f>
        <v>56</v>
      </c>
      <c r="N107" s="30">
        <f>SUM(N100:N106)</f>
        <v>0</v>
      </c>
      <c r="O107" s="30">
        <f>SUM(O100:O106)</f>
        <v>56</v>
      </c>
      <c r="P107" s="30"/>
      <c r="Q107" s="30">
        <f>SUM(Q100:Q106)</f>
        <v>56</v>
      </c>
      <c r="R107" s="30"/>
      <c r="S107" s="30">
        <f>SUM(S100:S106)</f>
        <v>56</v>
      </c>
      <c r="T107" s="30">
        <f>SUM(T100:T106)</f>
        <v>0</v>
      </c>
      <c r="U107" s="30">
        <f>SUM(U100:U106)</f>
        <v>56</v>
      </c>
    </row>
    <row r="108" spans="1:21">
      <c r="A108" s="90"/>
      <c r="B108" s="122"/>
      <c r="C108" s="233" t="s">
        <v>1671</v>
      </c>
      <c r="D108" s="28">
        <v>1</v>
      </c>
      <c r="E108" s="28">
        <v>1</v>
      </c>
      <c r="F108" s="28">
        <f>D108+E108</f>
        <v>2</v>
      </c>
      <c r="G108" s="28"/>
      <c r="H108" s="28">
        <f>F108+G108</f>
        <v>2</v>
      </c>
      <c r="I108" s="28"/>
      <c r="J108" s="28">
        <f>H108+I108</f>
        <v>2</v>
      </c>
      <c r="K108" s="28"/>
      <c r="L108" s="28">
        <f>J108+K108</f>
        <v>2</v>
      </c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ht="24" customHeight="1">
      <c r="A109" s="189"/>
      <c r="B109" s="190" t="s">
        <v>49</v>
      </c>
      <c r="C109" s="288" t="s">
        <v>50</v>
      </c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90"/>
    </row>
    <row r="110" spans="1:21">
      <c r="A110" s="90"/>
      <c r="B110" s="122"/>
      <c r="C110" s="141" t="s">
        <v>1280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>
      <c r="A111" s="123" t="s">
        <v>1442</v>
      </c>
      <c r="B111" s="122"/>
      <c r="C111" s="130" t="s">
        <v>1281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9.5" customHeight="1">
      <c r="A112" s="90" t="s">
        <v>1552</v>
      </c>
      <c r="B112" s="122"/>
      <c r="C112" s="145" t="s">
        <v>1625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>
        <v>156</v>
      </c>
      <c r="N112" s="28"/>
      <c r="O112" s="28">
        <f>M112+N112</f>
        <v>156</v>
      </c>
      <c r="P112" s="28"/>
      <c r="Q112" s="28">
        <f>O112+P112</f>
        <v>156</v>
      </c>
      <c r="R112" s="28"/>
      <c r="S112" s="28">
        <f>Q112+R112</f>
        <v>156</v>
      </c>
      <c r="T112" s="28">
        <v>506</v>
      </c>
      <c r="U112" s="28">
        <f>S112+T112</f>
        <v>662</v>
      </c>
    </row>
    <row r="113" spans="1:21">
      <c r="A113" s="90" t="s">
        <v>1439</v>
      </c>
      <c r="B113" s="122"/>
      <c r="C113" s="101" t="s">
        <v>1281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>
        <v>360</v>
      </c>
      <c r="N113" s="28"/>
      <c r="O113" s="28">
        <f>M113+N113</f>
        <v>360</v>
      </c>
      <c r="P113" s="28"/>
      <c r="Q113" s="28">
        <f>O113+P113</f>
        <v>360</v>
      </c>
      <c r="R113" s="28"/>
      <c r="S113" s="28">
        <f>Q113+R113</f>
        <v>360</v>
      </c>
      <c r="T113" s="28"/>
      <c r="U113" s="28">
        <f>S113+T113</f>
        <v>360</v>
      </c>
    </row>
    <row r="114" spans="1:21">
      <c r="A114" s="90" t="s">
        <v>1451</v>
      </c>
      <c r="B114" s="122"/>
      <c r="C114" s="142" t="s">
        <v>1282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>
        <v>97</v>
      </c>
      <c r="N114" s="28"/>
      <c r="O114" s="28">
        <f>M114+N114</f>
        <v>97</v>
      </c>
      <c r="P114" s="28"/>
      <c r="Q114" s="28">
        <f>O114+P114</f>
        <v>97</v>
      </c>
      <c r="R114" s="28"/>
      <c r="S114" s="28">
        <f>Q114+R114</f>
        <v>97</v>
      </c>
      <c r="T114" s="28"/>
      <c r="U114" s="28">
        <f>S114+T114</f>
        <v>97</v>
      </c>
    </row>
    <row r="115" spans="1:21">
      <c r="A115" s="90" t="s">
        <v>1445</v>
      </c>
      <c r="B115" s="122"/>
      <c r="C115" s="101" t="s">
        <v>1606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>
        <v>70</v>
      </c>
      <c r="N115" s="28"/>
      <c r="O115" s="28">
        <f>M115+N115</f>
        <v>70</v>
      </c>
      <c r="P115" s="28"/>
      <c r="Q115" s="28">
        <f>O115+P115</f>
        <v>70</v>
      </c>
      <c r="R115" s="28"/>
      <c r="S115" s="28">
        <f>Q115+R115</f>
        <v>70</v>
      </c>
      <c r="T115" s="28">
        <v>-58</v>
      </c>
      <c r="U115" s="28">
        <f>S115+T115</f>
        <v>12</v>
      </c>
    </row>
    <row r="116" spans="1:21">
      <c r="A116" s="123" t="s">
        <v>1441</v>
      </c>
      <c r="B116" s="122"/>
      <c r="C116" s="130" t="s">
        <v>1292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>
      <c r="A117" s="90" t="s">
        <v>1433</v>
      </c>
      <c r="B117" s="122"/>
      <c r="C117" s="142" t="s">
        <v>1293</v>
      </c>
      <c r="D117" s="28">
        <v>3996</v>
      </c>
      <c r="E117" s="28"/>
      <c r="F117" s="28">
        <f>D117+E117</f>
        <v>3996</v>
      </c>
      <c r="G117" s="28"/>
      <c r="H117" s="28">
        <f>F117+G117</f>
        <v>3996</v>
      </c>
      <c r="I117" s="28"/>
      <c r="J117" s="28">
        <f>H117+I117</f>
        <v>3996</v>
      </c>
      <c r="K117" s="28">
        <f>333+999</f>
        <v>1332</v>
      </c>
      <c r="L117" s="28">
        <f>J117+K117</f>
        <v>5328</v>
      </c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>
      <c r="A118" s="90" t="s">
        <v>1434</v>
      </c>
      <c r="B118" s="122"/>
      <c r="C118" s="101" t="s">
        <v>1435</v>
      </c>
      <c r="D118" s="28">
        <v>1079</v>
      </c>
      <c r="E118" s="28"/>
      <c r="F118" s="28">
        <f>D118+E118</f>
        <v>1079</v>
      </c>
      <c r="G118" s="28"/>
      <c r="H118" s="28">
        <f>F118+G118</f>
        <v>1079</v>
      </c>
      <c r="I118" s="28"/>
      <c r="J118" s="28">
        <f>H118+I118</f>
        <v>1079</v>
      </c>
      <c r="K118" s="28">
        <v>270</v>
      </c>
      <c r="L118" s="28">
        <f>J118+K118</f>
        <v>1349</v>
      </c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>
      <c r="A119" s="90" t="s">
        <v>1454</v>
      </c>
      <c r="B119" s="122"/>
      <c r="C119" s="142" t="s">
        <v>1294</v>
      </c>
      <c r="D119" s="28">
        <v>1132</v>
      </c>
      <c r="E119" s="28"/>
      <c r="F119" s="28">
        <f>D119+E119</f>
        <v>1132</v>
      </c>
      <c r="G119" s="28"/>
      <c r="H119" s="28">
        <f>F119+G119</f>
        <v>1132</v>
      </c>
      <c r="I119" s="28"/>
      <c r="J119" s="28">
        <f>H119+I119</f>
        <v>1132</v>
      </c>
      <c r="K119" s="28"/>
      <c r="L119" s="28">
        <f>J119+K119</f>
        <v>1132</v>
      </c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>
      <c r="A120" s="90" t="s">
        <v>1436</v>
      </c>
      <c r="B120" s="122"/>
      <c r="C120" s="101" t="s">
        <v>1437</v>
      </c>
      <c r="D120" s="28">
        <v>1000</v>
      </c>
      <c r="E120" s="28"/>
      <c r="F120" s="28">
        <f>D120+E120</f>
        <v>1000</v>
      </c>
      <c r="G120" s="28"/>
      <c r="H120" s="28">
        <f>F120+G120</f>
        <v>1000</v>
      </c>
      <c r="I120" s="28"/>
      <c r="J120" s="28">
        <f>H120+I120</f>
        <v>1000</v>
      </c>
      <c r="K120" s="28"/>
      <c r="L120" s="28">
        <f>J120+K120</f>
        <v>1000</v>
      </c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>
      <c r="A121" s="123"/>
      <c r="B121" s="122"/>
      <c r="C121" s="150" t="s">
        <v>1303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>
      <c r="A122" s="90" t="s">
        <v>1441</v>
      </c>
      <c r="B122" s="122"/>
      <c r="C122" s="151" t="s">
        <v>1307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>
      <c r="A123" s="90" t="s">
        <v>1561</v>
      </c>
      <c r="B123" s="122"/>
      <c r="C123" s="101" t="s">
        <v>77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>
      <c r="A124" s="90" t="s">
        <v>1562</v>
      </c>
      <c r="B124" s="122"/>
      <c r="C124" s="101" t="s">
        <v>1563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>
      <c r="A125" s="123" t="s">
        <v>1442</v>
      </c>
      <c r="B125" s="122"/>
      <c r="C125" s="151" t="s">
        <v>1452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>
      <c r="A126" s="90" t="s">
        <v>1448</v>
      </c>
      <c r="B126" s="122"/>
      <c r="C126" s="101" t="s">
        <v>1449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>
      <c r="A127" s="90"/>
      <c r="B127" s="122"/>
      <c r="C127" s="130" t="s">
        <v>1318</v>
      </c>
      <c r="D127" s="30">
        <f>SUM(D117:D126)</f>
        <v>7207</v>
      </c>
      <c r="E127" s="30">
        <f>SUM(E117:E126)</f>
        <v>0</v>
      </c>
      <c r="F127" s="30">
        <f>SUM(F117:F126)</f>
        <v>7207</v>
      </c>
      <c r="G127" s="30"/>
      <c r="H127" s="30">
        <f>SUM(H117:H126)</f>
        <v>7207</v>
      </c>
      <c r="I127" s="30"/>
      <c r="J127" s="30">
        <f>SUM(J117:J126)</f>
        <v>7207</v>
      </c>
      <c r="K127" s="30">
        <f>SUM(K117:K126)</f>
        <v>1602</v>
      </c>
      <c r="L127" s="30">
        <f>SUM(L117:L126)</f>
        <v>8809</v>
      </c>
      <c r="M127" s="30">
        <f>SUM(M113:M126)</f>
        <v>527</v>
      </c>
      <c r="N127" s="30">
        <f>SUM(N113:N126)</f>
        <v>0</v>
      </c>
      <c r="O127" s="30">
        <f>SUM(O113:O126)</f>
        <v>527</v>
      </c>
      <c r="P127" s="30"/>
      <c r="Q127" s="30">
        <f>SUM(Q113:Q126)</f>
        <v>527</v>
      </c>
      <c r="R127" s="30"/>
      <c r="S127" s="30">
        <f>SUM(S113:S126)</f>
        <v>527</v>
      </c>
      <c r="T127" s="30">
        <f>SUM(T113:T126)</f>
        <v>-58</v>
      </c>
      <c r="U127" s="30">
        <f>SUM(U113:U126)</f>
        <v>469</v>
      </c>
    </row>
    <row r="128" spans="1:21">
      <c r="A128" s="90"/>
      <c r="B128" s="122"/>
      <c r="C128" s="1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24" customHeight="1">
      <c r="A129" s="189"/>
      <c r="B129" s="190" t="s">
        <v>44</v>
      </c>
      <c r="C129" s="288" t="s">
        <v>1712</v>
      </c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90"/>
    </row>
    <row r="130" spans="1:21">
      <c r="A130" s="90"/>
      <c r="B130" s="122"/>
      <c r="C130" s="141" t="s">
        <v>1280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>
      <c r="A131" s="123" t="s">
        <v>1441</v>
      </c>
      <c r="B131" s="122"/>
      <c r="C131" s="130" t="s">
        <v>1292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>
      <c r="A132" s="90" t="s">
        <v>1433</v>
      </c>
      <c r="B132" s="122"/>
      <c r="C132" s="142" t="s">
        <v>1293</v>
      </c>
      <c r="D132" s="32">
        <v>680</v>
      </c>
      <c r="E132" s="32"/>
      <c r="F132" s="32">
        <f>D132+E132</f>
        <v>680</v>
      </c>
      <c r="G132" s="32"/>
      <c r="H132" s="32">
        <f>F132+G132</f>
        <v>680</v>
      </c>
      <c r="I132" s="32"/>
      <c r="J132" s="32">
        <f>H132+I132</f>
        <v>680</v>
      </c>
      <c r="K132" s="32">
        <f>492</f>
        <v>492</v>
      </c>
      <c r="L132" s="32">
        <f>J132+K132</f>
        <v>1172</v>
      </c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>
      <c r="A133" s="90" t="s">
        <v>1434</v>
      </c>
      <c r="B133" s="122"/>
      <c r="C133" s="101" t="s">
        <v>1435</v>
      </c>
      <c r="D133" s="32">
        <v>184</v>
      </c>
      <c r="E133" s="32"/>
      <c r="F133" s="32">
        <f>D133+E133</f>
        <v>184</v>
      </c>
      <c r="G133" s="32"/>
      <c r="H133" s="32">
        <f>F133+G133</f>
        <v>184</v>
      </c>
      <c r="I133" s="32"/>
      <c r="J133" s="32">
        <f>H133+I133</f>
        <v>184</v>
      </c>
      <c r="K133" s="32"/>
      <c r="L133" s="32">
        <f>J133+K133</f>
        <v>184</v>
      </c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>
      <c r="A134" s="90" t="s">
        <v>1454</v>
      </c>
      <c r="B134" s="122"/>
      <c r="C134" s="142" t="s">
        <v>1294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22.5">
      <c r="A135" s="123" t="s">
        <v>1442</v>
      </c>
      <c r="B135" s="122"/>
      <c r="C135" s="168" t="s">
        <v>1553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9.5">
      <c r="A136" s="90" t="s">
        <v>1552</v>
      </c>
      <c r="B136" s="122"/>
      <c r="C136" s="145" t="s">
        <v>1624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2">
        <v>366</v>
      </c>
      <c r="N136" s="32"/>
      <c r="O136" s="32">
        <f>M136+N136</f>
        <v>366</v>
      </c>
      <c r="P136" s="32"/>
      <c r="Q136" s="32">
        <f>O136+P136</f>
        <v>366</v>
      </c>
      <c r="R136" s="32"/>
      <c r="S136" s="32">
        <f>Q136+R136</f>
        <v>366</v>
      </c>
      <c r="T136" s="32">
        <v>313</v>
      </c>
      <c r="U136" s="32">
        <f>S136+T136</f>
        <v>679</v>
      </c>
    </row>
    <row r="137" spans="1:21">
      <c r="A137" s="90"/>
      <c r="B137" s="122"/>
      <c r="C137" s="130" t="s">
        <v>1318</v>
      </c>
      <c r="D137" s="30">
        <f t="shared" ref="D137:O137" si="2">SUM(D132:D136)</f>
        <v>864</v>
      </c>
      <c r="E137" s="30">
        <f t="shared" si="2"/>
        <v>0</v>
      </c>
      <c r="F137" s="30">
        <f t="shared" si="2"/>
        <v>864</v>
      </c>
      <c r="G137" s="30"/>
      <c r="H137" s="30">
        <f>SUM(H132:H136)</f>
        <v>864</v>
      </c>
      <c r="I137" s="30"/>
      <c r="J137" s="30">
        <f>SUM(J132:J136)</f>
        <v>864</v>
      </c>
      <c r="K137" s="30">
        <f>SUM(K132:K136)</f>
        <v>492</v>
      </c>
      <c r="L137" s="30">
        <f>SUM(L132:L136)</f>
        <v>1356</v>
      </c>
      <c r="M137" s="30">
        <f t="shared" si="2"/>
        <v>366</v>
      </c>
      <c r="N137" s="30">
        <f t="shared" si="2"/>
        <v>0</v>
      </c>
      <c r="O137" s="30">
        <f t="shared" si="2"/>
        <v>366</v>
      </c>
      <c r="P137" s="30"/>
      <c r="Q137" s="30">
        <f>SUM(Q132:Q136)</f>
        <v>366</v>
      </c>
      <c r="R137" s="30"/>
      <c r="S137" s="30">
        <f>SUM(S132:S136)</f>
        <v>366</v>
      </c>
      <c r="T137" s="30">
        <f>SUM(T132:T136)</f>
        <v>313</v>
      </c>
      <c r="U137" s="30">
        <f>SUM(U132:U136)</f>
        <v>679</v>
      </c>
    </row>
    <row r="138" spans="1:21">
      <c r="A138" s="90"/>
      <c r="B138" s="122"/>
      <c r="C138" s="130" t="s">
        <v>1634</v>
      </c>
      <c r="D138" s="30">
        <v>3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>
      <c r="A139" s="90"/>
      <c r="B139" s="122"/>
      <c r="C139" s="130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>
      <c r="A140" s="90"/>
      <c r="B140" s="122"/>
      <c r="C140" s="130" t="s">
        <v>1323</v>
      </c>
      <c r="D140" s="30">
        <f>SUM(D18+D30+D37+D49+D55+D63+D75+D82+D95+D107+D127+D137)</f>
        <v>48040</v>
      </c>
      <c r="E140" s="30">
        <f>SUM(E18+E30+E37+E49+E55+E63+E75+E82+E95+E107+E127+E137)</f>
        <v>1431</v>
      </c>
      <c r="F140" s="30">
        <f>SUM(F18+F30+F37+F49+F55+F63+F75+F82+F95+F107+F127+F137)</f>
        <v>49471</v>
      </c>
      <c r="G140" s="30"/>
      <c r="H140" s="30">
        <f>SUM(H18+H30+H37+H49+H55+H63+H75+H82+H95+H107+H127+H137)</f>
        <v>49471</v>
      </c>
      <c r="I140" s="30"/>
      <c r="J140" s="30">
        <f>SUM(J18+J30+J37+J49+J55+J63+J75+J82+J95+J107+J127+J137)</f>
        <v>49615</v>
      </c>
      <c r="K140" s="30">
        <f>SUM(K18+K30+K37+K49+K55+K63+K75+K82+K95+K107+K127+K137)</f>
        <v>5472</v>
      </c>
      <c r="L140" s="30">
        <f>SUM(L18+L30+L37+L49+L55+L63+L75+L82+L95+L107+L127+L137)</f>
        <v>55087</v>
      </c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>
      <c r="A141" s="90"/>
      <c r="B141" s="122"/>
      <c r="C141" s="130" t="s">
        <v>1324</v>
      </c>
      <c r="D141" s="28"/>
      <c r="E141" s="28"/>
      <c r="F141" s="28"/>
      <c r="G141" s="28"/>
      <c r="H141" s="28"/>
      <c r="I141" s="28"/>
      <c r="J141" s="28"/>
      <c r="K141" s="28"/>
      <c r="L141" s="28"/>
      <c r="M141" s="30">
        <f>SUM(M18+M30+M37+M49+M55+M63+M75+M82+M95+M107+M112+M127+M137)</f>
        <v>48040</v>
      </c>
      <c r="N141" s="30">
        <f>SUM(N18+N30+N37+N49+N55+N63+N75+N82+N95+N107+N112+N127+N137)</f>
        <v>1431</v>
      </c>
      <c r="O141" s="30">
        <f>SUM(O18+O30+O37+O49+O55+O63+O75+O82+O95+O107+O112+O127+O137)</f>
        <v>49471</v>
      </c>
      <c r="P141" s="30">
        <f>SUM(P18+P30+P37+P49+P55+P63+P75+P82+P95+P107+P112+P127+P137)</f>
        <v>0</v>
      </c>
      <c r="Q141" s="30">
        <f>SUM(Q18+Q30+Q37+Q49+P6055+Q63+Q75+Q82+Q95+Q107+Q112+Q127+Q137)</f>
        <v>48468</v>
      </c>
      <c r="R141" s="30">
        <f>SUM(R18+R30+R37+R49+R55+R63+R75+R82+R95+R107+R112+R127+R137)</f>
        <v>144</v>
      </c>
      <c r="S141" s="30">
        <f>SUM(S18+S30+S37+S49+R6055+S63+S75+S82+S95+S107+S112+S127+S137)</f>
        <v>48612</v>
      </c>
      <c r="T141" s="30">
        <f>SUM(T18+T30+T37+T49+T55+T63+T75+T82+T95+T107+T112+T127+T137)</f>
        <v>5472</v>
      </c>
      <c r="U141" s="30">
        <f>SUM(U18+U30+U37+U49+T6055+U63+U75+U82+U95+U107+U112+U127+U137)</f>
        <v>54084</v>
      </c>
    </row>
    <row r="142" spans="1:21">
      <c r="A142" s="90"/>
      <c r="B142" s="122"/>
      <c r="C142" s="130" t="s">
        <v>1243</v>
      </c>
      <c r="D142" s="30">
        <v>12</v>
      </c>
      <c r="E142" s="30"/>
      <c r="F142" s="30"/>
      <c r="G142" s="30"/>
      <c r="H142" s="30"/>
      <c r="I142" s="30"/>
      <c r="J142" s="30"/>
      <c r="K142" s="30"/>
      <c r="L142" s="30"/>
      <c r="M142" s="28"/>
      <c r="N142" s="28"/>
      <c r="O142" s="28"/>
      <c r="P142" s="28"/>
      <c r="Q142" s="28"/>
      <c r="R142" s="28"/>
      <c r="S142" s="28"/>
      <c r="T142" s="28"/>
      <c r="U142" s="28"/>
    </row>
    <row r="144" spans="1:21" ht="21" customHeight="1">
      <c r="A144" s="194" t="s">
        <v>1662</v>
      </c>
    </row>
    <row r="145" spans="1:24" ht="22.5">
      <c r="A145" s="15" t="s">
        <v>1421</v>
      </c>
      <c r="B145" s="121"/>
      <c r="C145" s="61" t="s">
        <v>1408</v>
      </c>
      <c r="D145" s="186" t="s">
        <v>1278</v>
      </c>
      <c r="E145" s="186" t="s">
        <v>696</v>
      </c>
      <c r="F145" s="186" t="s">
        <v>698</v>
      </c>
      <c r="G145" s="186"/>
      <c r="H145" s="186" t="s">
        <v>698</v>
      </c>
      <c r="I145" s="186"/>
      <c r="J145" s="186" t="s">
        <v>698</v>
      </c>
      <c r="K145" s="234" t="s">
        <v>1689</v>
      </c>
      <c r="L145" s="186" t="s">
        <v>698</v>
      </c>
      <c r="M145" s="186" t="s">
        <v>1278</v>
      </c>
      <c r="N145" s="186" t="s">
        <v>696</v>
      </c>
      <c r="O145" s="186" t="s">
        <v>697</v>
      </c>
      <c r="P145" s="186"/>
      <c r="Q145" s="186" t="s">
        <v>697</v>
      </c>
      <c r="R145" s="186"/>
      <c r="S145" s="186" t="s">
        <v>697</v>
      </c>
      <c r="T145" s="234" t="s">
        <v>1689</v>
      </c>
      <c r="U145" s="186" t="s">
        <v>697</v>
      </c>
    </row>
    <row r="146" spans="1:24">
      <c r="A146" s="23" t="s">
        <v>1433</v>
      </c>
      <c r="B146" s="121"/>
      <c r="C146" s="62" t="s">
        <v>1411</v>
      </c>
      <c r="D146" s="33">
        <f t="shared" ref="D146:F147" si="3">SUM(D14+D26+D68+D80+D91+D103+D117+D132)</f>
        <v>25001</v>
      </c>
      <c r="E146" s="33">
        <f t="shared" si="3"/>
        <v>523</v>
      </c>
      <c r="F146" s="33">
        <f t="shared" si="3"/>
        <v>25524</v>
      </c>
      <c r="G146" s="33"/>
      <c r="H146" s="33">
        <f>SUM(H14+H26+H68+H80+H91+H103+H117+H132)</f>
        <v>25524</v>
      </c>
      <c r="I146" s="33"/>
      <c r="J146" s="33">
        <f t="shared" ref="J146:L147" si="4">SUM(J14+J26+J68+J80+J91+J103+J117+J132)</f>
        <v>25524</v>
      </c>
      <c r="K146" s="33">
        <f t="shared" si="4"/>
        <v>3670</v>
      </c>
      <c r="L146" s="33">
        <f t="shared" si="4"/>
        <v>29194</v>
      </c>
      <c r="M146" s="33"/>
      <c r="N146" s="33"/>
      <c r="O146" s="33"/>
      <c r="P146" s="33"/>
      <c r="Q146" s="33"/>
      <c r="R146" s="33"/>
      <c r="S146" s="33"/>
      <c r="T146" s="33"/>
      <c r="U146" s="33"/>
      <c r="V146">
        <f>25930+3264</f>
        <v>29194</v>
      </c>
      <c r="W146" s="12">
        <f>V146-L146</f>
        <v>0</v>
      </c>
    </row>
    <row r="147" spans="1:24">
      <c r="A147" s="23" t="s">
        <v>1434</v>
      </c>
      <c r="B147" s="121"/>
      <c r="C147" s="58" t="s">
        <v>1435</v>
      </c>
      <c r="D147" s="33">
        <f t="shared" si="3"/>
        <v>6720</v>
      </c>
      <c r="E147" s="33">
        <f t="shared" si="3"/>
        <v>141</v>
      </c>
      <c r="F147" s="33">
        <f t="shared" si="3"/>
        <v>6861</v>
      </c>
      <c r="G147" s="33"/>
      <c r="H147" s="33">
        <f>SUM(H15+H27+H69+H81+H92+H104+H118+H133)</f>
        <v>6861</v>
      </c>
      <c r="I147" s="33"/>
      <c r="J147" s="33">
        <f t="shared" si="4"/>
        <v>6861</v>
      </c>
      <c r="K147" s="33">
        <f t="shared" si="4"/>
        <v>878</v>
      </c>
      <c r="L147" s="33">
        <f t="shared" si="4"/>
        <v>7739</v>
      </c>
      <c r="M147" s="33"/>
      <c r="N147" s="33"/>
      <c r="O147" s="33"/>
      <c r="P147" s="33"/>
      <c r="Q147" s="33"/>
      <c r="R147" s="33"/>
      <c r="S147" s="33"/>
      <c r="T147" s="33"/>
      <c r="U147" s="33"/>
      <c r="V147">
        <f>6861+878</f>
        <v>7739</v>
      </c>
      <c r="W147" s="12">
        <f>V147-L147</f>
        <v>0</v>
      </c>
    </row>
    <row r="148" spans="1:24">
      <c r="A148" s="23" t="s">
        <v>1454</v>
      </c>
      <c r="B148" s="121"/>
      <c r="C148" s="62" t="s">
        <v>1635</v>
      </c>
      <c r="D148" s="33">
        <f>SUM(D16+D28+D47+D70+D93+D105+D119+D134)</f>
        <v>12181</v>
      </c>
      <c r="E148" s="33">
        <f>SUM(E16+E28+E47+E70+E93+E105+E119+E134)</f>
        <v>767</v>
      </c>
      <c r="F148" s="33">
        <f>SUM(F16+F28+F47+F70+F93+F105+F119+F134)</f>
        <v>12948</v>
      </c>
      <c r="G148" s="33"/>
      <c r="H148" s="33">
        <f>SUM(H16+H28+H47+H70+H93+H105+H119+H134)</f>
        <v>12948</v>
      </c>
      <c r="I148" s="33"/>
      <c r="J148" s="33">
        <f>SUM(J16+J28+J47+J70+J93+J105+J119+J134)</f>
        <v>13092</v>
      </c>
      <c r="K148" s="33">
        <f>SUM(K16+K28+K47+K70+K93+K105+K119+K134)</f>
        <v>238</v>
      </c>
      <c r="L148" s="33">
        <f>SUM(L16+L28+L47+L70+L93+L105+L119+L134)</f>
        <v>13330</v>
      </c>
      <c r="M148" s="33"/>
      <c r="N148" s="33"/>
      <c r="O148" s="33"/>
      <c r="P148" s="33"/>
      <c r="Q148" s="33"/>
      <c r="R148" s="33"/>
      <c r="S148" s="33"/>
      <c r="T148" s="33"/>
      <c r="U148" s="33"/>
      <c r="V148">
        <v>13330</v>
      </c>
      <c r="W148" s="12">
        <f>V148-L148</f>
        <v>0</v>
      </c>
    </row>
    <row r="149" spans="1:24">
      <c r="A149" s="23" t="s">
        <v>1436</v>
      </c>
      <c r="B149" s="121"/>
      <c r="C149" s="58" t="s">
        <v>1437</v>
      </c>
      <c r="D149" s="33">
        <f>SUM(D17+D29+D48+D71+D94+D106+D120)</f>
        <v>4138</v>
      </c>
      <c r="E149" s="33">
        <f>SUM(E17+E29+E48+E71+E94+E106+E120)</f>
        <v>0</v>
      </c>
      <c r="F149" s="33">
        <f>SUM(F17+F29+F48+F71+F94+F106+F120)</f>
        <v>4138</v>
      </c>
      <c r="G149" s="33"/>
      <c r="H149" s="33">
        <f>SUM(H17+H29+H48+H71+H94+H106+H120)</f>
        <v>4138</v>
      </c>
      <c r="I149" s="33"/>
      <c r="J149" s="33">
        <f>SUM(J17+J29+J48+J71+J94+J106+J120)</f>
        <v>4138</v>
      </c>
      <c r="K149" s="33">
        <f>SUM(K17+K29+K48+K71+K94+K106+K120)</f>
        <v>686</v>
      </c>
      <c r="L149" s="33">
        <f>SUM(L17+L29+L48+L71+L94+L106+L120)</f>
        <v>4824</v>
      </c>
      <c r="M149" s="33"/>
      <c r="N149" s="33"/>
      <c r="O149" s="33"/>
      <c r="P149" s="33"/>
      <c r="Q149" s="33"/>
      <c r="R149" s="33"/>
      <c r="S149" s="33"/>
      <c r="T149" s="33"/>
      <c r="U149" s="33"/>
      <c r="V149">
        <v>4824</v>
      </c>
      <c r="W149" s="12">
        <f>V149-L149</f>
        <v>0</v>
      </c>
    </row>
    <row r="150" spans="1:24">
      <c r="A150" s="23" t="s">
        <v>1561</v>
      </c>
      <c r="B150" s="121"/>
      <c r="C150" s="62" t="s">
        <v>1307</v>
      </c>
      <c r="D150" s="33">
        <f>SUM(D123+D124)</f>
        <v>0</v>
      </c>
      <c r="E150" s="33">
        <f>SUM(E123+E124)</f>
        <v>0</v>
      </c>
      <c r="F150" s="33">
        <f>SUM(F123+F124)</f>
        <v>0</v>
      </c>
      <c r="G150" s="33"/>
      <c r="H150" s="33">
        <f>SUM(H123+H124)</f>
        <v>0</v>
      </c>
      <c r="I150" s="33"/>
      <c r="J150" s="33">
        <f>SUM(J123+J124)</f>
        <v>0</v>
      </c>
      <c r="K150" s="33">
        <f>SUM(K123+K124)</f>
        <v>0</v>
      </c>
      <c r="L150" s="33">
        <f>SUM(L123+L124)</f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194">
        <f>SUM(V146:V149)</f>
        <v>55087</v>
      </c>
      <c r="W150" s="194">
        <f>SUM(W146:W149)</f>
        <v>0</v>
      </c>
    </row>
    <row r="151" spans="1:24">
      <c r="A151" s="23"/>
      <c r="B151" s="121"/>
      <c r="C151" s="61" t="s">
        <v>1409</v>
      </c>
      <c r="D151" s="34">
        <f>SUM(D146:D150)</f>
        <v>48040</v>
      </c>
      <c r="E151" s="34">
        <f>SUM(E146:E150)</f>
        <v>1431</v>
      </c>
      <c r="F151" s="34">
        <f>SUM(F146:F150)</f>
        <v>49471</v>
      </c>
      <c r="G151" s="34"/>
      <c r="H151" s="34">
        <f>SUM(H146:H150)</f>
        <v>49471</v>
      </c>
      <c r="I151" s="34"/>
      <c r="J151" s="34">
        <f>SUM(J146:J150)</f>
        <v>49615</v>
      </c>
      <c r="K151" s="34">
        <f>SUM(K146:K150)</f>
        <v>5472</v>
      </c>
      <c r="L151" s="34">
        <f>SUM(L146:L150)</f>
        <v>55087</v>
      </c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4">
      <c r="A152" s="23"/>
      <c r="B152" s="121"/>
      <c r="C152" s="61" t="s">
        <v>1410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24">
      <c r="A153" s="23" t="s">
        <v>1600</v>
      </c>
      <c r="B153" s="121"/>
      <c r="C153" s="62" t="s">
        <v>76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>
        <f>SUM(M112+M136)</f>
        <v>522</v>
      </c>
      <c r="N153" s="33">
        <f>SUM(N112+N136)</f>
        <v>0</v>
      </c>
      <c r="O153" s="33">
        <f>SUM(O112+O136)</f>
        <v>522</v>
      </c>
      <c r="P153" s="33"/>
      <c r="Q153" s="33">
        <f>SUM(Q112+Q136)</f>
        <v>522</v>
      </c>
      <c r="R153" s="33">
        <f>SUM(R112+R136)</f>
        <v>0</v>
      </c>
      <c r="S153" s="33">
        <f>SUM(S112+S136)</f>
        <v>522</v>
      </c>
      <c r="T153" s="33">
        <f>SUM(T112+T136)</f>
        <v>819</v>
      </c>
      <c r="U153" s="33">
        <f>SUM(U112+U136)</f>
        <v>1341</v>
      </c>
      <c r="W153">
        <v>1341</v>
      </c>
      <c r="X153" s="12">
        <f>W153-U153</f>
        <v>0</v>
      </c>
    </row>
    <row r="154" spans="1:24">
      <c r="A154" s="23" t="s">
        <v>1444</v>
      </c>
      <c r="B154" s="121"/>
      <c r="C154" s="62" t="s">
        <v>1351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>
        <f>SUM(M11+M12+M23+M24+M35+M36+M42+M43+M53+M54+M73+M74+M87+M88+M100+M101+M114+M113+M89)</f>
        <v>14735</v>
      </c>
      <c r="N154" s="33">
        <f>SUM(N11+N12+N23+N24+N35+N36+N42+N43+N53+N54+N73+N74+N87+N88+N100+N101+N114+N113+N89)</f>
        <v>0</v>
      </c>
      <c r="O154" s="33">
        <f>SUM(O11+O12+O23+O24+O35+O36+O42+O43+O53+O54+O73+O74+O87+O88+O100+O101+O114+O113+O89)</f>
        <v>14735</v>
      </c>
      <c r="P154" s="33"/>
      <c r="Q154" s="33">
        <f>SUM(Q11+Q12+Q23+Q24+Q35+Q36+Q42+Q43+Q53+Q54+Q73+Q74+Q87+Q88+Q100+Q101+Q114+Q113+Q89)</f>
        <v>14735</v>
      </c>
      <c r="R154" s="33">
        <f>SUM(R11+R12+R23+R24+R35+R36+R42+R43+R53+R54+R73+R74+R87+R88+R100+R101+R114+R113+R89)</f>
        <v>0</v>
      </c>
      <c r="S154" s="33">
        <f>SUM(S11+S12+S23+S24+S35+S36+S42+S43+S53+S54+S73+S74+S87+S88+S100+S101+S114+S113+S89)</f>
        <v>14735</v>
      </c>
      <c r="T154" s="33">
        <f>SUM(T11+T12+T23+T24+T35+T36+T42+T43+T53+T54+T73+T74+T87+T88+T100+T101+T114+T113+T89)</f>
        <v>4894</v>
      </c>
      <c r="U154" s="33">
        <f>SUM(U11+U12+U23+U24+U35+U36+U42+U43+U53+U54+U73+U74+U87+U88+U100+U101+U114+U113+U89)</f>
        <v>19629</v>
      </c>
      <c r="W154">
        <f>19629</f>
        <v>19629</v>
      </c>
      <c r="X154" s="12">
        <f>W154-U154</f>
        <v>0</v>
      </c>
    </row>
    <row r="155" spans="1:24">
      <c r="A155" s="23" t="s">
        <v>1445</v>
      </c>
      <c r="B155" s="121"/>
      <c r="C155" s="62" t="s">
        <v>1447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>
        <f>SUM(M115)</f>
        <v>70</v>
      </c>
      <c r="N155" s="33">
        <f>SUM(N115)</f>
        <v>0</v>
      </c>
      <c r="O155" s="33">
        <f>SUM(O115)</f>
        <v>70</v>
      </c>
      <c r="P155" s="33"/>
      <c r="Q155" s="33">
        <f>SUM(Q115)</f>
        <v>70</v>
      </c>
      <c r="R155" s="33">
        <f>SUM(R115)</f>
        <v>0</v>
      </c>
      <c r="S155" s="33">
        <f>SUM(S115)</f>
        <v>70</v>
      </c>
      <c r="T155" s="33">
        <f>SUM(T115)</f>
        <v>-58</v>
      </c>
      <c r="U155" s="33">
        <f>SUM(U115)</f>
        <v>12</v>
      </c>
      <c r="W155">
        <v>12</v>
      </c>
      <c r="X155" s="12">
        <f>W155-U155</f>
        <v>0</v>
      </c>
    </row>
    <row r="156" spans="1:24">
      <c r="A156" s="23" t="s">
        <v>1448</v>
      </c>
      <c r="B156" s="121"/>
      <c r="C156" s="62" t="s">
        <v>1449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>
        <f>SUM(M126)</f>
        <v>0</v>
      </c>
      <c r="N156" s="33">
        <f>SUM(N126)</f>
        <v>0</v>
      </c>
      <c r="O156" s="33">
        <f>SUM(O126)</f>
        <v>0</v>
      </c>
      <c r="P156" s="33"/>
      <c r="Q156" s="33">
        <f>SUM(Q126)</f>
        <v>0</v>
      </c>
      <c r="R156" s="33">
        <f>SUM(R126)</f>
        <v>0</v>
      </c>
      <c r="S156" s="33">
        <f>SUM(S126)</f>
        <v>0</v>
      </c>
      <c r="T156" s="33">
        <f>SUM(T126)</f>
        <v>0</v>
      </c>
      <c r="U156" s="33">
        <f>SUM(U126)</f>
        <v>0</v>
      </c>
    </row>
    <row r="157" spans="1:24">
      <c r="A157" s="23" t="s">
        <v>1446</v>
      </c>
      <c r="B157" s="121"/>
      <c r="C157" s="62" t="s">
        <v>1453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1:24">
      <c r="A158" s="23" t="s">
        <v>1443</v>
      </c>
      <c r="B158" s="121"/>
      <c r="C158" s="63" t="s">
        <v>1352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>
        <f>SUM(M62)</f>
        <v>0</v>
      </c>
      <c r="N158" s="33">
        <f>SUM(N62)</f>
        <v>122</v>
      </c>
      <c r="O158" s="33">
        <f>SUM(O62)</f>
        <v>122</v>
      </c>
      <c r="P158" s="33"/>
      <c r="Q158" s="33">
        <f>SUM(Q62)</f>
        <v>122</v>
      </c>
      <c r="R158" s="33">
        <f>SUM(R62)</f>
        <v>0</v>
      </c>
      <c r="S158" s="33">
        <f>SUM(S62)</f>
        <v>122</v>
      </c>
      <c r="T158" s="33">
        <f>SUM(T62)</f>
        <v>0</v>
      </c>
      <c r="U158" s="33">
        <f>SUM(U62)</f>
        <v>122</v>
      </c>
      <c r="W158">
        <v>122</v>
      </c>
      <c r="X158">
        <v>0</v>
      </c>
    </row>
    <row r="159" spans="1:24">
      <c r="A159" s="23" t="s">
        <v>1443</v>
      </c>
      <c r="B159" s="121"/>
      <c r="C159" s="62" t="s">
        <v>1412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>
        <f>SUM(M60)</f>
        <v>32713</v>
      </c>
      <c r="N159" s="33">
        <f>SUM(N60)</f>
        <v>1309</v>
      </c>
      <c r="O159" s="33">
        <f>SUM(O60)</f>
        <v>34022</v>
      </c>
      <c r="P159" s="33"/>
      <c r="Q159" s="33">
        <f>SUM(Q60)</f>
        <v>34022</v>
      </c>
      <c r="R159" s="33">
        <f>SUM(R60)</f>
        <v>144</v>
      </c>
      <c r="S159" s="33">
        <f>SUM(S60)</f>
        <v>34166</v>
      </c>
      <c r="T159" s="33">
        <f>SUM(T60)</f>
        <v>-183</v>
      </c>
      <c r="U159" s="33">
        <f>SUM(U60)</f>
        <v>33983</v>
      </c>
      <c r="W159">
        <f>29841+4142</f>
        <v>33983</v>
      </c>
      <c r="X159" s="12">
        <f>W159-U159</f>
        <v>0</v>
      </c>
    </row>
    <row r="160" spans="1:24">
      <c r="A160" s="23"/>
      <c r="B160" s="121"/>
      <c r="C160" s="61" t="s">
        <v>1413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>
        <f>SUM(M153:M159)</f>
        <v>48040</v>
      </c>
      <c r="N160" s="34">
        <f>SUM(N153:N159)</f>
        <v>1431</v>
      </c>
      <c r="O160" s="34">
        <f>SUM(O153:O159)</f>
        <v>49471</v>
      </c>
      <c r="P160" s="34"/>
      <c r="Q160" s="34">
        <f>SUM(Q153:Q159)</f>
        <v>49471</v>
      </c>
      <c r="R160" s="34">
        <f>SUM(R153:R159)</f>
        <v>144</v>
      </c>
      <c r="S160" s="34">
        <f>SUM(S153:S159)</f>
        <v>49615</v>
      </c>
      <c r="T160" s="34">
        <f>SUM(T153:T159)</f>
        <v>5472</v>
      </c>
      <c r="U160" s="34">
        <f>SUM(U153:U159)</f>
        <v>55087</v>
      </c>
      <c r="W160" s="261">
        <f>SUM(W153:W159)</f>
        <v>55087</v>
      </c>
      <c r="X160" s="261">
        <f>SUM(X153:X159)</f>
        <v>0</v>
      </c>
    </row>
    <row r="162" spans="13:23">
      <c r="M162" s="3">
        <f>D151-M160</f>
        <v>0</v>
      </c>
      <c r="N162" s="3">
        <f t="shared" ref="N162:U162" si="5">E151-N160</f>
        <v>0</v>
      </c>
      <c r="O162" s="3">
        <f t="shared" si="5"/>
        <v>0</v>
      </c>
      <c r="P162" s="3">
        <f t="shared" si="5"/>
        <v>0</v>
      </c>
      <c r="Q162" s="3">
        <f t="shared" si="5"/>
        <v>0</v>
      </c>
      <c r="R162" s="3">
        <f t="shared" si="5"/>
        <v>-144</v>
      </c>
      <c r="S162" s="3">
        <f t="shared" si="5"/>
        <v>0</v>
      </c>
      <c r="T162" s="3">
        <f t="shared" si="5"/>
        <v>0</v>
      </c>
      <c r="U162" s="3">
        <f t="shared" si="5"/>
        <v>0</v>
      </c>
      <c r="W162" s="12"/>
    </row>
  </sheetData>
  <mergeCells count="12">
    <mergeCell ref="C109:U109"/>
    <mergeCell ref="C129:U129"/>
    <mergeCell ref="C77:U77"/>
    <mergeCell ref="C65:U65"/>
    <mergeCell ref="C84:U84"/>
    <mergeCell ref="C5:C6"/>
    <mergeCell ref="A5:A6"/>
    <mergeCell ref="D5:L5"/>
    <mergeCell ref="M5:U5"/>
    <mergeCell ref="A2:U2"/>
    <mergeCell ref="A3:U3"/>
    <mergeCell ref="B5:B6"/>
  </mergeCells>
  <phoneticPr fontId="1" type="noConversion"/>
  <printOptions horizontalCentered="1"/>
  <pageMargins left="0.74803149606299213" right="0.74803149606299213" top="0.70866141732283472" bottom="0.51181102362204722" header="0.51181102362204722" footer="0.31496062992125984"/>
  <pageSetup paperSize="9" orientation="landscape" blackAndWhite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="120" zoomScaleNormal="120" workbookViewId="0">
      <pane ySplit="7" topLeftCell="A56" activePane="bottomLeft" state="frozen"/>
      <selection activeCell="B44" sqref="B44"/>
      <selection pane="bottomLeft" activeCell="F77" sqref="F77"/>
    </sheetView>
  </sheetViews>
  <sheetFormatPr defaultRowHeight="12.75"/>
  <cols>
    <col min="1" max="1" width="9.5703125" style="74" customWidth="1"/>
    <col min="2" max="2" width="30.5703125" style="74" customWidth="1"/>
    <col min="3" max="3" width="8.85546875" style="74" customWidth="1"/>
    <col min="4" max="4" width="8.5703125" style="74" customWidth="1"/>
    <col min="5" max="5" width="10.5703125" style="74" customWidth="1"/>
    <col min="6" max="6" width="12.5703125" style="75" customWidth="1"/>
    <col min="9" max="9" width="10.7109375" bestFit="1" customWidth="1"/>
  </cols>
  <sheetData>
    <row r="1" spans="1:6">
      <c r="A1" s="72"/>
      <c r="B1" s="72"/>
      <c r="C1" s="73"/>
      <c r="D1" s="73"/>
      <c r="E1" s="73"/>
      <c r="F1" s="73" t="s">
        <v>1524</v>
      </c>
    </row>
    <row r="2" spans="1:6" ht="27.75" customHeight="1">
      <c r="A2" s="313" t="s">
        <v>70</v>
      </c>
      <c r="B2" s="313"/>
      <c r="C2" s="313"/>
      <c r="D2" s="313"/>
      <c r="E2" s="313"/>
      <c r="F2" s="313"/>
    </row>
    <row r="4" spans="1:6">
      <c r="A4" s="72"/>
      <c r="B4" s="73" t="s">
        <v>1354</v>
      </c>
      <c r="C4" s="72"/>
      <c r="D4" s="72"/>
      <c r="E4" s="72"/>
      <c r="F4" s="72">
        <v>625733</v>
      </c>
    </row>
    <row r="5" spans="1:6">
      <c r="A5" s="72"/>
      <c r="B5" s="73" t="s">
        <v>1457</v>
      </c>
      <c r="C5" s="73"/>
      <c r="D5" s="73"/>
      <c r="E5" s="73"/>
      <c r="F5" s="73" t="s">
        <v>1458</v>
      </c>
    </row>
    <row r="7" spans="1:6" ht="33.75">
      <c r="A7" s="76" t="s">
        <v>1459</v>
      </c>
      <c r="B7" s="77" t="s">
        <v>1355</v>
      </c>
      <c r="C7" s="76" t="s">
        <v>1460</v>
      </c>
      <c r="D7" s="48" t="s">
        <v>1461</v>
      </c>
      <c r="E7" s="76" t="s">
        <v>1462</v>
      </c>
      <c r="F7" s="78" t="s">
        <v>1463</v>
      </c>
    </row>
    <row r="8" spans="1:6">
      <c r="A8" s="314" t="s">
        <v>1464</v>
      </c>
      <c r="B8" s="315"/>
      <c r="C8" s="315"/>
      <c r="D8" s="315"/>
      <c r="E8" s="315"/>
      <c r="F8" s="316"/>
    </row>
    <row r="9" spans="1:6">
      <c r="A9" s="314" t="s">
        <v>1465</v>
      </c>
      <c r="B9" s="315"/>
      <c r="C9" s="315"/>
      <c r="D9" s="315"/>
      <c r="E9" s="315"/>
      <c r="F9" s="316"/>
    </row>
    <row r="10" spans="1:6">
      <c r="A10" s="79" t="s">
        <v>1356</v>
      </c>
      <c r="B10" s="79" t="s">
        <v>1357</v>
      </c>
      <c r="C10" s="80"/>
      <c r="D10" s="80"/>
      <c r="E10" s="80"/>
      <c r="F10" s="81"/>
    </row>
    <row r="11" spans="1:6" ht="22.5">
      <c r="A11" s="79" t="s">
        <v>1358</v>
      </c>
      <c r="B11" s="82" t="s">
        <v>1359</v>
      </c>
      <c r="C11" s="83" t="s">
        <v>1466</v>
      </c>
      <c r="D11" s="83"/>
      <c r="E11" s="83">
        <v>4580000</v>
      </c>
      <c r="F11" s="32">
        <f>SUM(F12:F15)</f>
        <v>13136043</v>
      </c>
    </row>
    <row r="12" spans="1:6" ht="22.5">
      <c r="A12" s="79" t="s">
        <v>1379</v>
      </c>
      <c r="B12" s="82" t="s">
        <v>1384</v>
      </c>
      <c r="C12" s="83" t="s">
        <v>1467</v>
      </c>
      <c r="D12" s="83"/>
      <c r="E12" s="83">
        <v>22300</v>
      </c>
      <c r="F12" s="32">
        <v>2131880</v>
      </c>
    </row>
    <row r="13" spans="1:6">
      <c r="A13" s="79" t="s">
        <v>1468</v>
      </c>
      <c r="B13" s="82" t="s">
        <v>1469</v>
      </c>
      <c r="C13" s="83" t="s">
        <v>1470</v>
      </c>
      <c r="D13" s="83"/>
      <c r="E13" s="83">
        <v>283200</v>
      </c>
      <c r="F13" s="32">
        <v>7278240</v>
      </c>
    </row>
    <row r="14" spans="1:6" ht="22.5">
      <c r="A14" s="79" t="s">
        <v>1380</v>
      </c>
      <c r="B14" s="82" t="s">
        <v>1381</v>
      </c>
      <c r="C14" s="83" t="s">
        <v>1471</v>
      </c>
      <c r="D14" s="83"/>
      <c r="E14" s="83">
        <v>69</v>
      </c>
      <c r="F14" s="32">
        <v>2009349</v>
      </c>
    </row>
    <row r="15" spans="1:6">
      <c r="A15" s="79" t="s">
        <v>1385</v>
      </c>
      <c r="B15" s="82" t="s">
        <v>1382</v>
      </c>
      <c r="C15" s="83" t="s">
        <v>1470</v>
      </c>
      <c r="D15" s="83"/>
      <c r="E15" s="83">
        <v>227000</v>
      </c>
      <c r="F15" s="32">
        <v>1716574</v>
      </c>
    </row>
    <row r="16" spans="1:6" ht="33.75">
      <c r="A16" s="113" t="s">
        <v>1279</v>
      </c>
      <c r="B16" s="114" t="s">
        <v>1383</v>
      </c>
      <c r="C16" s="115"/>
      <c r="D16" s="115"/>
      <c r="E16" s="115"/>
      <c r="F16" s="115">
        <f>SUM(F12:F15)</f>
        <v>13136043</v>
      </c>
    </row>
    <row r="17" spans="1:7">
      <c r="A17" s="317" t="s">
        <v>1472</v>
      </c>
      <c r="B17" s="318"/>
      <c r="C17" s="318"/>
      <c r="D17" s="318"/>
      <c r="E17" s="318"/>
      <c r="F17" s="319"/>
    </row>
    <row r="18" spans="1:7">
      <c r="A18" s="317" t="s">
        <v>1473</v>
      </c>
      <c r="B18" s="318"/>
      <c r="C18" s="318"/>
      <c r="D18" s="318"/>
      <c r="E18" s="318"/>
      <c r="F18" s="319"/>
    </row>
    <row r="19" spans="1:7" ht="29.25">
      <c r="A19" s="79" t="s">
        <v>1360</v>
      </c>
      <c r="B19" s="89" t="s">
        <v>1361</v>
      </c>
      <c r="C19" s="83"/>
      <c r="D19" s="83"/>
      <c r="E19" s="83"/>
      <c r="F19" s="83"/>
    </row>
    <row r="20" spans="1:7" ht="19.5">
      <c r="A20" s="79" t="s">
        <v>1474</v>
      </c>
      <c r="B20" s="89" t="s">
        <v>1475</v>
      </c>
      <c r="C20" s="86" t="s">
        <v>1476</v>
      </c>
      <c r="D20" s="106">
        <v>3.1</v>
      </c>
      <c r="E20" s="83">
        <v>4012000</v>
      </c>
      <c r="F20" s="83">
        <f>SUM(D20*E20)</f>
        <v>12437200</v>
      </c>
    </row>
    <row r="21" spans="1:7" ht="33" customHeight="1">
      <c r="A21" s="107" t="s">
        <v>1637</v>
      </c>
      <c r="B21" s="108" t="s">
        <v>1477</v>
      </c>
      <c r="C21" s="109" t="s">
        <v>1476</v>
      </c>
      <c r="D21" s="110">
        <v>3.1</v>
      </c>
      <c r="E21" s="111">
        <v>34400</v>
      </c>
      <c r="F21" s="83">
        <f>SUM(D21*E21)</f>
        <v>106640</v>
      </c>
    </row>
    <row r="22" spans="1:7" ht="29.25">
      <c r="A22" s="112" t="s">
        <v>1638</v>
      </c>
      <c r="B22" s="108" t="s">
        <v>1478</v>
      </c>
      <c r="C22" s="111" t="s">
        <v>1466</v>
      </c>
      <c r="D22" s="110">
        <v>1</v>
      </c>
      <c r="E22" s="111">
        <v>1800000</v>
      </c>
      <c r="F22" s="83">
        <f>SUM(D22*E22)</f>
        <v>1800000</v>
      </c>
    </row>
    <row r="23" spans="1:7" ht="22.5">
      <c r="A23" s="112" t="s">
        <v>1639</v>
      </c>
      <c r="B23" s="107" t="s">
        <v>1362</v>
      </c>
      <c r="C23" s="111" t="s">
        <v>1466</v>
      </c>
      <c r="D23" s="110">
        <v>31</v>
      </c>
      <c r="E23" s="111">
        <v>56000</v>
      </c>
      <c r="F23" s="83">
        <f>SUM(D23*E23)</f>
        <v>1736000</v>
      </c>
    </row>
    <row r="24" spans="1:7" ht="48" customHeight="1">
      <c r="A24" s="113" t="s">
        <v>1302</v>
      </c>
      <c r="B24" s="114" t="s">
        <v>1363</v>
      </c>
      <c r="C24" s="115"/>
      <c r="D24" s="115"/>
      <c r="E24" s="115"/>
      <c r="F24" s="115">
        <f>SUM(F19:F23)</f>
        <v>16079840</v>
      </c>
    </row>
    <row r="25" spans="1:7">
      <c r="A25" s="328" t="s">
        <v>1479</v>
      </c>
      <c r="B25" s="329"/>
      <c r="C25" s="329"/>
      <c r="D25" s="329"/>
      <c r="E25" s="329"/>
      <c r="F25" s="330"/>
    </row>
    <row r="26" spans="1:7" s="215" customFormat="1" ht="22.5">
      <c r="A26" s="228" t="s">
        <v>1650</v>
      </c>
      <c r="B26" s="229" t="s">
        <v>1651</v>
      </c>
      <c r="C26" s="111"/>
      <c r="D26" s="111"/>
      <c r="E26" s="111"/>
      <c r="F26" s="34">
        <v>7080000</v>
      </c>
      <c r="G26" s="216" t="s">
        <v>1648</v>
      </c>
    </row>
    <row r="27" spans="1:7" ht="22.5">
      <c r="A27" s="84" t="s">
        <v>1364</v>
      </c>
      <c r="B27" s="92" t="s">
        <v>1365</v>
      </c>
      <c r="C27" s="83" t="s">
        <v>1466</v>
      </c>
      <c r="D27" s="83">
        <v>1301</v>
      </c>
      <c r="E27" s="83">
        <v>2277.221</v>
      </c>
      <c r="F27" s="30">
        <v>1959209</v>
      </c>
    </row>
    <row r="28" spans="1:7" ht="26.25" customHeight="1">
      <c r="A28" s="84" t="s">
        <v>1387</v>
      </c>
      <c r="B28" s="87" t="s">
        <v>1366</v>
      </c>
      <c r="C28" s="83"/>
      <c r="D28" s="83"/>
      <c r="E28" s="83"/>
      <c r="F28" s="32"/>
    </row>
    <row r="29" spans="1:7">
      <c r="A29" s="79" t="s">
        <v>1480</v>
      </c>
      <c r="B29" s="79" t="s">
        <v>1367</v>
      </c>
      <c r="C29" s="83" t="s">
        <v>1466</v>
      </c>
      <c r="D29" s="83">
        <v>29</v>
      </c>
      <c r="E29" s="83">
        <v>55360</v>
      </c>
      <c r="F29" s="32">
        <f>SUM(D29*E29)</f>
        <v>1605440</v>
      </c>
    </row>
    <row r="30" spans="1:7">
      <c r="A30" s="79" t="s">
        <v>1386</v>
      </c>
      <c r="B30" s="79" t="s">
        <v>1368</v>
      </c>
      <c r="C30" s="83" t="s">
        <v>1466</v>
      </c>
      <c r="D30" s="83">
        <v>18</v>
      </c>
      <c r="E30" s="83">
        <v>145000</v>
      </c>
      <c r="F30" s="32">
        <f>SUM(D30*E30)</f>
        <v>2610000</v>
      </c>
    </row>
    <row r="31" spans="1:7" ht="22.5">
      <c r="A31" s="79" t="s">
        <v>1388</v>
      </c>
      <c r="B31" s="82" t="s">
        <v>1369</v>
      </c>
      <c r="C31" s="83" t="s">
        <v>1481</v>
      </c>
      <c r="D31" s="83">
        <v>1</v>
      </c>
      <c r="E31" s="83">
        <v>2500000</v>
      </c>
      <c r="F31" s="32">
        <f>SUM(D31*E31)</f>
        <v>2500000</v>
      </c>
    </row>
    <row r="32" spans="1:7">
      <c r="A32" s="79" t="s">
        <v>1389</v>
      </c>
      <c r="B32" s="79" t="s">
        <v>1370</v>
      </c>
      <c r="C32" s="83" t="s">
        <v>1466</v>
      </c>
      <c r="D32" s="83">
        <v>30</v>
      </c>
      <c r="E32" s="83">
        <v>109000</v>
      </c>
      <c r="F32" s="32">
        <f>SUM(D32*E32)</f>
        <v>3270000</v>
      </c>
    </row>
    <row r="33" spans="1:9" ht="22.5">
      <c r="A33" s="79" t="s">
        <v>1640</v>
      </c>
      <c r="B33" s="82" t="s">
        <v>1641</v>
      </c>
      <c r="C33" s="83" t="s">
        <v>1466</v>
      </c>
      <c r="D33" s="83">
        <v>1301</v>
      </c>
      <c r="E33" s="83">
        <v>1000</v>
      </c>
      <c r="F33" s="32">
        <f>SUM(D33*E33)</f>
        <v>1301000</v>
      </c>
    </row>
    <row r="34" spans="1:9" ht="22.5">
      <c r="A34" s="84" t="s">
        <v>1371</v>
      </c>
      <c r="B34" s="87" t="s">
        <v>1482</v>
      </c>
      <c r="C34" s="85"/>
      <c r="D34" s="85"/>
      <c r="E34" s="85"/>
      <c r="F34" s="85">
        <f>SUM(F28:F33)</f>
        <v>11286440</v>
      </c>
    </row>
    <row r="35" spans="1:9">
      <c r="A35" s="84" t="s">
        <v>1483</v>
      </c>
      <c r="B35" s="88" t="s">
        <v>1484</v>
      </c>
      <c r="C35" s="83"/>
      <c r="D35" s="83"/>
      <c r="E35" s="83"/>
      <c r="F35" s="83"/>
    </row>
    <row r="36" spans="1:9" ht="33.75">
      <c r="A36" s="79" t="s">
        <v>1485</v>
      </c>
      <c r="B36" s="82" t="s">
        <v>1486</v>
      </c>
      <c r="C36" s="83" t="s">
        <v>1466</v>
      </c>
      <c r="D36" s="105">
        <v>2.42</v>
      </c>
      <c r="E36" s="83">
        <v>1632000</v>
      </c>
      <c r="F36" s="83">
        <f>SUM(D36*E36)</f>
        <v>3949440</v>
      </c>
    </row>
    <row r="37" spans="1:9" s="215" customFormat="1" ht="23.25" customHeight="1">
      <c r="A37" s="107" t="s">
        <v>1645</v>
      </c>
      <c r="B37" s="112" t="s">
        <v>1646</v>
      </c>
      <c r="C37" s="111"/>
      <c r="D37" s="226"/>
      <c r="E37" s="111"/>
      <c r="F37" s="111">
        <f>5790135+304744</f>
        <v>6094879</v>
      </c>
      <c r="G37" s="216" t="s">
        <v>1677</v>
      </c>
    </row>
    <row r="38" spans="1:9" ht="22.5">
      <c r="A38" s="84" t="s">
        <v>1487</v>
      </c>
      <c r="B38" s="87" t="s">
        <v>1488</v>
      </c>
      <c r="C38" s="85"/>
      <c r="D38" s="85"/>
      <c r="E38" s="85"/>
      <c r="F38" s="85">
        <f>SUM(F36:F37)</f>
        <v>10044319</v>
      </c>
    </row>
    <row r="39" spans="1:9" ht="45">
      <c r="A39" s="113" t="s">
        <v>1372</v>
      </c>
      <c r="B39" s="114" t="s">
        <v>1373</v>
      </c>
      <c r="C39" s="115"/>
      <c r="D39" s="115"/>
      <c r="E39" s="115"/>
      <c r="F39" s="115">
        <f>SUM(F27+F34+F38+F26)</f>
        <v>30369968</v>
      </c>
      <c r="I39" s="12"/>
    </row>
    <row r="40" spans="1:9">
      <c r="A40" s="317" t="s">
        <v>1489</v>
      </c>
      <c r="B40" s="318"/>
      <c r="C40" s="318"/>
      <c r="D40" s="318"/>
      <c r="E40" s="318"/>
      <c r="F40" s="319"/>
    </row>
    <row r="41" spans="1:9" ht="22.5">
      <c r="A41" s="79" t="s">
        <v>1490</v>
      </c>
      <c r="B41" s="82" t="s">
        <v>1374</v>
      </c>
      <c r="C41" s="83"/>
      <c r="D41" s="83"/>
      <c r="E41" s="83"/>
      <c r="F41" s="32"/>
    </row>
    <row r="42" spans="1:9" ht="33.75">
      <c r="A42" s="79" t="s">
        <v>1491</v>
      </c>
      <c r="B42" s="82" t="s">
        <v>1492</v>
      </c>
      <c r="C42" s="83" t="s">
        <v>1466</v>
      </c>
      <c r="D42" s="83">
        <v>1301</v>
      </c>
      <c r="E42" s="83">
        <v>1140</v>
      </c>
      <c r="F42" s="32">
        <f>SUM(D42*E42)</f>
        <v>1483140</v>
      </c>
    </row>
    <row r="43" spans="1:9" ht="33.75">
      <c r="A43" s="113" t="s">
        <v>1375</v>
      </c>
      <c r="B43" s="114" t="s">
        <v>1376</v>
      </c>
      <c r="C43" s="115">
        <f>SUM(C41)</f>
        <v>0</v>
      </c>
      <c r="D43" s="115">
        <f>SUM(D41)</f>
        <v>0</v>
      </c>
      <c r="E43" s="115">
        <f>SUM(E41)</f>
        <v>0</v>
      </c>
      <c r="F43" s="115">
        <f>SUM(F41:F42)</f>
        <v>1483140</v>
      </c>
    </row>
    <row r="44" spans="1:9" ht="33.75">
      <c r="A44" s="116"/>
      <c r="B44" s="117" t="s">
        <v>1378</v>
      </c>
      <c r="C44" s="118"/>
      <c r="D44" s="118"/>
      <c r="E44" s="118"/>
      <c r="F44" s="118">
        <f>SUM(F16+F24+F39+F43)</f>
        <v>61068991</v>
      </c>
      <c r="H44" s="12"/>
      <c r="I44" s="12"/>
    </row>
    <row r="45" spans="1:9" ht="32.25" customHeight="1">
      <c r="A45" s="322" t="s">
        <v>106</v>
      </c>
      <c r="B45" s="323"/>
      <c r="C45" s="323"/>
      <c r="D45" s="323"/>
      <c r="E45" s="323"/>
      <c r="F45" s="324"/>
    </row>
    <row r="46" spans="1:9" s="215" customFormat="1" ht="19.5">
      <c r="A46" s="227" t="s">
        <v>1493</v>
      </c>
      <c r="B46" s="108" t="s">
        <v>1494</v>
      </c>
      <c r="C46" s="227"/>
      <c r="D46" s="325" t="s">
        <v>1495</v>
      </c>
      <c r="E46" s="217"/>
      <c r="F46" s="35">
        <v>960000</v>
      </c>
      <c r="G46" s="216" t="s">
        <v>1648</v>
      </c>
    </row>
    <row r="47" spans="1:9" ht="19.5">
      <c r="A47" s="91" t="s">
        <v>1496</v>
      </c>
      <c r="B47" s="89" t="s">
        <v>1497</v>
      </c>
      <c r="C47" s="91"/>
      <c r="D47" s="326"/>
      <c r="E47" s="90"/>
      <c r="F47" s="32"/>
    </row>
    <row r="48" spans="1:9" ht="19.5">
      <c r="A48" s="91" t="s">
        <v>1498</v>
      </c>
      <c r="B48" s="89" t="s">
        <v>1499</v>
      </c>
      <c r="C48" s="91"/>
      <c r="D48" s="326"/>
      <c r="E48" s="90"/>
      <c r="F48" s="32"/>
    </row>
    <row r="49" spans="1:7" ht="19.5">
      <c r="A49" s="91" t="s">
        <v>1500</v>
      </c>
      <c r="B49" s="89" t="s">
        <v>1501</v>
      </c>
      <c r="C49" s="91"/>
      <c r="D49" s="326"/>
      <c r="E49" s="90"/>
      <c r="F49" s="32"/>
    </row>
    <row r="50" spans="1:7" ht="19.5">
      <c r="A50" s="91" t="s">
        <v>1502</v>
      </c>
      <c r="B50" s="89" t="s">
        <v>1503</v>
      </c>
      <c r="C50" s="91"/>
      <c r="D50" s="326"/>
      <c r="E50" s="90"/>
      <c r="F50" s="32"/>
    </row>
    <row r="51" spans="1:7" ht="19.5">
      <c r="A51" s="91" t="s">
        <v>1504</v>
      </c>
      <c r="B51" s="89" t="s">
        <v>1505</v>
      </c>
      <c r="C51" s="91"/>
      <c r="D51" s="326"/>
      <c r="E51" s="90"/>
      <c r="F51" s="32"/>
    </row>
    <row r="52" spans="1:7" ht="29.25">
      <c r="A52" s="91" t="s">
        <v>1506</v>
      </c>
      <c r="B52" s="89" t="s">
        <v>1507</v>
      </c>
      <c r="C52" s="91"/>
      <c r="D52" s="326"/>
      <c r="E52" s="90"/>
      <c r="F52" s="32">
        <v>54000</v>
      </c>
    </row>
    <row r="53" spans="1:7" ht="19.5">
      <c r="A53" s="91" t="s">
        <v>1508</v>
      </c>
      <c r="B53" s="89" t="s">
        <v>1509</v>
      </c>
      <c r="C53" s="91"/>
      <c r="D53" s="326"/>
      <c r="E53" s="90"/>
      <c r="F53" s="32">
        <v>127254</v>
      </c>
    </row>
    <row r="54" spans="1:7" s="215" customFormat="1" ht="16.5" customHeight="1">
      <c r="A54" s="227" t="s">
        <v>1659</v>
      </c>
      <c r="B54" s="108" t="s">
        <v>1541</v>
      </c>
      <c r="C54" s="227"/>
      <c r="D54" s="326"/>
      <c r="E54" s="217"/>
      <c r="F54" s="35">
        <f>430276+517284</f>
        <v>947560</v>
      </c>
      <c r="G54" s="216" t="s">
        <v>1648</v>
      </c>
    </row>
    <row r="55" spans="1:7">
      <c r="A55" s="91" t="s">
        <v>1510</v>
      </c>
      <c r="B55" s="91" t="s">
        <v>1377</v>
      </c>
      <c r="C55" s="91"/>
      <c r="D55" s="326"/>
      <c r="E55" s="90"/>
      <c r="F55" s="32">
        <v>58125</v>
      </c>
    </row>
    <row r="56" spans="1:7" ht="19.5">
      <c r="A56" s="91" t="s">
        <v>1511</v>
      </c>
      <c r="B56" s="89" t="s">
        <v>1390</v>
      </c>
      <c r="C56" s="91"/>
      <c r="D56" s="327"/>
      <c r="E56" s="90"/>
      <c r="F56" s="32">
        <v>501260</v>
      </c>
    </row>
    <row r="57" spans="1:7" s="215" customFormat="1" ht="19.5">
      <c r="A57" s="227" t="s">
        <v>1653</v>
      </c>
      <c r="B57" s="108" t="s">
        <v>1654</v>
      </c>
      <c r="C57" s="227"/>
      <c r="D57" s="230"/>
      <c r="E57" s="217"/>
      <c r="F57" s="35">
        <v>960000</v>
      </c>
      <c r="G57" s="216" t="s">
        <v>1648</v>
      </c>
    </row>
    <row r="58" spans="1:7" s="215" customFormat="1" ht="15" customHeight="1">
      <c r="A58" s="227" t="s">
        <v>1658</v>
      </c>
      <c r="B58" s="231" t="s">
        <v>1664</v>
      </c>
      <c r="C58" s="227"/>
      <c r="D58" s="230"/>
      <c r="E58" s="217"/>
      <c r="F58" s="35">
        <f>13064653+83007534</f>
        <v>96072187</v>
      </c>
      <c r="G58" s="216"/>
    </row>
    <row r="59" spans="1:7" s="215" customFormat="1" ht="15" customHeight="1">
      <c r="A59" s="227" t="s">
        <v>1678</v>
      </c>
      <c r="B59" s="231" t="s">
        <v>1679</v>
      </c>
      <c r="C59" s="227"/>
      <c r="D59" s="230"/>
      <c r="E59" s="217"/>
      <c r="F59" s="35">
        <v>4000</v>
      </c>
      <c r="G59" s="216"/>
    </row>
    <row r="60" spans="1:7" s="215" customFormat="1" ht="15" customHeight="1">
      <c r="A60" s="227" t="s">
        <v>1681</v>
      </c>
      <c r="B60" s="231" t="s">
        <v>1682</v>
      </c>
      <c r="C60" s="227"/>
      <c r="D60" s="230"/>
      <c r="E60" s="217"/>
      <c r="F60" s="35">
        <v>636858</v>
      </c>
      <c r="G60" s="216"/>
    </row>
    <row r="61" spans="1:7" s="215" customFormat="1" ht="15" customHeight="1">
      <c r="A61" s="227" t="s">
        <v>1683</v>
      </c>
      <c r="B61" s="231" t="s">
        <v>1684</v>
      </c>
      <c r="C61" s="227"/>
      <c r="D61" s="230"/>
      <c r="E61" s="217"/>
      <c r="F61" s="35">
        <v>325000</v>
      </c>
      <c r="G61" s="216"/>
    </row>
    <row r="62" spans="1:7" s="215" customFormat="1" ht="15" customHeight="1">
      <c r="A62" s="227" t="s">
        <v>1685</v>
      </c>
      <c r="B62" s="231" t="s">
        <v>1686</v>
      </c>
      <c r="C62" s="227"/>
      <c r="D62" s="230"/>
      <c r="E62" s="217"/>
      <c r="F62" s="35">
        <v>551180</v>
      </c>
      <c r="G62" s="216"/>
    </row>
    <row r="63" spans="1:7">
      <c r="A63" s="320" t="s">
        <v>1652</v>
      </c>
      <c r="B63" s="321"/>
      <c r="C63" s="153"/>
      <c r="D63" s="153"/>
      <c r="E63" s="153"/>
      <c r="F63" s="157">
        <f>SUM(F46:F62)</f>
        <v>101197424</v>
      </c>
    </row>
    <row r="64" spans="1:7">
      <c r="A64" s="156" t="s">
        <v>107</v>
      </c>
      <c r="B64" s="154"/>
      <c r="C64" s="155"/>
      <c r="D64" s="155"/>
      <c r="E64" s="155"/>
      <c r="F64" s="158">
        <f>SUM(F63+F44)</f>
        <v>162266415</v>
      </c>
    </row>
    <row r="65" spans="6:9" ht="18.75" customHeight="1">
      <c r="F65" s="12">
        <f>'Mártély összesen'!R132+4</f>
        <v>162270</v>
      </c>
    </row>
    <row r="70" spans="6:9">
      <c r="H70" s="211" t="s">
        <v>1660</v>
      </c>
      <c r="I70">
        <v>97409</v>
      </c>
    </row>
    <row r="71" spans="6:9">
      <c r="I71">
        <v>97409</v>
      </c>
    </row>
    <row r="72" spans="6:9">
      <c r="I72">
        <v>160655</v>
      </c>
    </row>
    <row r="73" spans="6:9">
      <c r="I73" s="212">
        <v>74803</v>
      </c>
    </row>
    <row r="74" spans="6:9">
      <c r="I74">
        <f>SUM(I70:I73)</f>
        <v>430276</v>
      </c>
    </row>
  </sheetData>
  <mergeCells count="10">
    <mergeCell ref="A2:F2"/>
    <mergeCell ref="A8:F8"/>
    <mergeCell ref="A9:F9"/>
    <mergeCell ref="A17:F17"/>
    <mergeCell ref="A63:B63"/>
    <mergeCell ref="A40:F40"/>
    <mergeCell ref="A45:F45"/>
    <mergeCell ref="D46:D56"/>
    <mergeCell ref="A18:F18"/>
    <mergeCell ref="A25:F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topLeftCell="A7" workbookViewId="0">
      <selection activeCell="D17" sqref="D17"/>
    </sheetView>
  </sheetViews>
  <sheetFormatPr defaultRowHeight="12.75"/>
  <cols>
    <col min="1" max="1" width="22.5703125" customWidth="1"/>
    <col min="2" max="2" width="8" style="12" customWidth="1"/>
    <col min="3" max="3" width="7.28515625" style="12" customWidth="1"/>
    <col min="4" max="4" width="8" style="12" customWidth="1"/>
    <col min="5" max="6" width="7.42578125" style="12" customWidth="1"/>
    <col min="7" max="7" width="8" style="12" customWidth="1"/>
    <col min="8" max="8" width="8.42578125" style="12" customWidth="1"/>
    <col min="9" max="9" width="8.7109375" style="12" customWidth="1"/>
    <col min="10" max="10" width="9" style="12" customWidth="1"/>
    <col min="11" max="11" width="9.28515625" style="12" bestFit="1" customWidth="1"/>
    <col min="12" max="12" width="8.140625" style="12" customWidth="1"/>
    <col min="13" max="13" width="9.42578125" style="12" customWidth="1"/>
    <col min="14" max="14" width="9.7109375" style="12" bestFit="1" customWidth="1"/>
  </cols>
  <sheetData>
    <row r="1" spans="1:14">
      <c r="A1" s="5"/>
      <c r="B1" s="6"/>
      <c r="C1" s="6"/>
      <c r="D1" s="331" t="s">
        <v>1272</v>
      </c>
      <c r="E1" s="331"/>
      <c r="F1" s="331"/>
      <c r="G1" s="331"/>
      <c r="H1" s="331"/>
      <c r="I1" s="331"/>
      <c r="J1" s="6"/>
      <c r="K1" s="6"/>
      <c r="L1" s="6"/>
      <c r="M1" s="6" t="s">
        <v>1332</v>
      </c>
      <c r="N1" s="6"/>
    </row>
    <row r="2" spans="1:14" ht="13.5" thickBot="1">
      <c r="A2" s="7" t="s">
        <v>1333</v>
      </c>
      <c r="B2" s="8" t="s">
        <v>1334</v>
      </c>
      <c r="C2" s="8" t="s">
        <v>1335</v>
      </c>
      <c r="D2" s="8" t="s">
        <v>1336</v>
      </c>
      <c r="E2" s="8" t="s">
        <v>1337</v>
      </c>
      <c r="F2" s="8" t="s">
        <v>1338</v>
      </c>
      <c r="G2" s="8" t="s">
        <v>1339</v>
      </c>
      <c r="H2" s="8" t="s">
        <v>1340</v>
      </c>
      <c r="I2" s="8" t="s">
        <v>1341</v>
      </c>
      <c r="J2" s="8" t="s">
        <v>1342</v>
      </c>
      <c r="K2" s="8" t="s">
        <v>1343</v>
      </c>
      <c r="L2" s="8" t="s">
        <v>1344</v>
      </c>
      <c r="M2" s="9" t="s">
        <v>1345</v>
      </c>
      <c r="N2" s="10" t="s">
        <v>1346</v>
      </c>
    </row>
    <row r="3" spans="1:14" ht="22.5">
      <c r="A3" s="37" t="s">
        <v>1347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0"/>
    </row>
    <row r="4" spans="1:14">
      <c r="A4" s="179" t="s">
        <v>1411</v>
      </c>
      <c r="B4" s="38">
        <v>6200</v>
      </c>
      <c r="C4" s="38">
        <v>6200</v>
      </c>
      <c r="D4" s="38">
        <v>6199</v>
      </c>
      <c r="E4" s="38">
        <v>6200</v>
      </c>
      <c r="F4" s="38">
        <v>6200</v>
      </c>
      <c r="G4" s="38">
        <v>6199</v>
      </c>
      <c r="H4" s="38">
        <v>6200</v>
      </c>
      <c r="I4" s="38">
        <v>6200</v>
      </c>
      <c r="J4" s="38">
        <v>6199</v>
      </c>
      <c r="K4" s="38">
        <v>6200</v>
      </c>
      <c r="L4" s="38">
        <v>6199</v>
      </c>
      <c r="M4" s="38">
        <v>6199</v>
      </c>
      <c r="N4" s="180">
        <f>SUM(B4:M4)</f>
        <v>74395</v>
      </c>
    </row>
    <row r="5" spans="1:14" ht="19.5">
      <c r="A5" s="166" t="s">
        <v>98</v>
      </c>
      <c r="B5" s="38">
        <v>1426</v>
      </c>
      <c r="C5" s="38">
        <v>1426</v>
      </c>
      <c r="D5" s="38">
        <v>1425</v>
      </c>
      <c r="E5" s="38">
        <v>1426</v>
      </c>
      <c r="F5" s="38">
        <v>1426</v>
      </c>
      <c r="G5" s="38">
        <v>1425</v>
      </c>
      <c r="H5" s="38">
        <v>1426</v>
      </c>
      <c r="I5" s="38">
        <v>1426</v>
      </c>
      <c r="J5" s="38">
        <v>1425</v>
      </c>
      <c r="K5" s="38">
        <v>1426</v>
      </c>
      <c r="L5" s="38">
        <v>1425</v>
      </c>
      <c r="M5" s="39">
        <v>1425</v>
      </c>
      <c r="N5" s="180">
        <f t="shared" ref="N5:N12" si="0">SUM(B5:M5)</f>
        <v>17107</v>
      </c>
    </row>
    <row r="6" spans="1:14" ht="22.5">
      <c r="A6" s="102" t="s">
        <v>99</v>
      </c>
      <c r="B6" s="28">
        <v>3163</v>
      </c>
      <c r="C6" s="28">
        <v>3163</v>
      </c>
      <c r="D6" s="28">
        <v>3163</v>
      </c>
      <c r="E6" s="28">
        <v>3163</v>
      </c>
      <c r="F6" s="28">
        <v>3163</v>
      </c>
      <c r="G6" s="28">
        <v>3163</v>
      </c>
      <c r="H6" s="28">
        <v>3163</v>
      </c>
      <c r="I6" s="28">
        <v>3163</v>
      </c>
      <c r="J6" s="28">
        <v>3163</v>
      </c>
      <c r="K6" s="28">
        <v>3163</v>
      </c>
      <c r="L6" s="28">
        <v>3164</v>
      </c>
      <c r="M6" s="181">
        <v>3164</v>
      </c>
      <c r="N6" s="180">
        <f t="shared" si="0"/>
        <v>37958</v>
      </c>
    </row>
    <row r="7" spans="1:14">
      <c r="A7" s="182" t="s">
        <v>1295</v>
      </c>
      <c r="B7" s="28">
        <v>71</v>
      </c>
      <c r="C7" s="28">
        <v>71</v>
      </c>
      <c r="D7" s="28">
        <v>71</v>
      </c>
      <c r="E7" s="28">
        <v>71</v>
      </c>
      <c r="F7" s="28">
        <v>71</v>
      </c>
      <c r="G7" s="28">
        <v>71</v>
      </c>
      <c r="H7" s="28">
        <v>71</v>
      </c>
      <c r="I7" s="28">
        <v>71</v>
      </c>
      <c r="J7" s="28">
        <v>71</v>
      </c>
      <c r="K7" s="28">
        <v>71</v>
      </c>
      <c r="L7" s="28">
        <v>71</v>
      </c>
      <c r="M7" s="181">
        <v>72</v>
      </c>
      <c r="N7" s="180">
        <f t="shared" si="0"/>
        <v>853</v>
      </c>
    </row>
    <row r="8" spans="1:14" ht="22.5">
      <c r="A8" s="102" t="s">
        <v>1555</v>
      </c>
      <c r="B8" s="28">
        <v>1571</v>
      </c>
      <c r="C8" s="28">
        <v>1571</v>
      </c>
      <c r="D8" s="28">
        <v>1572</v>
      </c>
      <c r="E8" s="28">
        <v>1571</v>
      </c>
      <c r="F8" s="28">
        <v>1571</v>
      </c>
      <c r="G8" s="28">
        <v>1572</v>
      </c>
      <c r="H8" s="28">
        <v>1571</v>
      </c>
      <c r="I8" s="28">
        <v>1571</v>
      </c>
      <c r="J8" s="28">
        <v>1572</v>
      </c>
      <c r="K8" s="28">
        <v>1571</v>
      </c>
      <c r="L8" s="28">
        <v>1571</v>
      </c>
      <c r="M8" s="181">
        <v>1572</v>
      </c>
      <c r="N8" s="180">
        <f>SUM(B8:M8)</f>
        <v>18856</v>
      </c>
    </row>
    <row r="9" spans="1:14" ht="22.5">
      <c r="A9" s="102" t="s">
        <v>100</v>
      </c>
      <c r="B9" s="28">
        <v>80</v>
      </c>
      <c r="C9" s="28">
        <v>80</v>
      </c>
      <c r="D9" s="28">
        <v>80</v>
      </c>
      <c r="E9" s="28">
        <v>80</v>
      </c>
      <c r="F9" s="28">
        <v>80</v>
      </c>
      <c r="G9" s="28">
        <v>80</v>
      </c>
      <c r="H9" s="28">
        <v>80</v>
      </c>
      <c r="I9" s="28">
        <v>80</v>
      </c>
      <c r="J9" s="28">
        <v>80</v>
      </c>
      <c r="K9" s="28">
        <v>80</v>
      </c>
      <c r="L9" s="28">
        <v>80</v>
      </c>
      <c r="M9" s="181">
        <v>80</v>
      </c>
      <c r="N9" s="180">
        <f t="shared" si="0"/>
        <v>960</v>
      </c>
    </row>
    <row r="10" spans="1:14" ht="22.5">
      <c r="A10" s="182" t="s">
        <v>1348</v>
      </c>
      <c r="B10" s="28">
        <v>489</v>
      </c>
      <c r="C10" s="28">
        <v>489</v>
      </c>
      <c r="D10" s="28">
        <v>490</v>
      </c>
      <c r="E10" s="28">
        <v>490</v>
      </c>
      <c r="F10" s="28">
        <v>489</v>
      </c>
      <c r="G10" s="28">
        <v>489</v>
      </c>
      <c r="H10" s="28">
        <v>490</v>
      </c>
      <c r="I10" s="28">
        <v>490</v>
      </c>
      <c r="J10" s="28">
        <v>490</v>
      </c>
      <c r="K10" s="28">
        <v>490</v>
      </c>
      <c r="L10" s="28">
        <v>490</v>
      </c>
      <c r="M10" s="28">
        <v>490</v>
      </c>
      <c r="N10" s="180">
        <f t="shared" si="0"/>
        <v>5876</v>
      </c>
    </row>
    <row r="11" spans="1:14" ht="22.5">
      <c r="A11" s="102" t="s">
        <v>101</v>
      </c>
      <c r="B11" s="28">
        <v>6378</v>
      </c>
      <c r="C11" s="28">
        <v>6378</v>
      </c>
      <c r="D11" s="28">
        <v>6378</v>
      </c>
      <c r="E11" s="28">
        <v>6378</v>
      </c>
      <c r="F11" s="28">
        <v>6378</v>
      </c>
      <c r="G11" s="28">
        <v>6378</v>
      </c>
      <c r="H11" s="28">
        <v>6377</v>
      </c>
      <c r="I11" s="28">
        <v>6378</v>
      </c>
      <c r="J11" s="28">
        <v>6378</v>
      </c>
      <c r="K11" s="28">
        <v>6378</v>
      </c>
      <c r="L11" s="28">
        <v>6378</v>
      </c>
      <c r="M11" s="28">
        <v>6378</v>
      </c>
      <c r="N11" s="180">
        <f t="shared" si="0"/>
        <v>76535</v>
      </c>
    </row>
    <row r="12" spans="1:14" ht="23.25" thickBot="1">
      <c r="A12" s="182" t="s">
        <v>1349</v>
      </c>
      <c r="B12" s="28">
        <v>11038</v>
      </c>
      <c r="C12" s="28">
        <v>11038</v>
      </c>
      <c r="D12" s="28">
        <v>11038</v>
      </c>
      <c r="E12" s="28">
        <v>11038</v>
      </c>
      <c r="F12" s="28">
        <v>11038</v>
      </c>
      <c r="G12" s="28">
        <v>11039</v>
      </c>
      <c r="H12" s="28">
        <v>11038</v>
      </c>
      <c r="I12" s="28">
        <v>11038</v>
      </c>
      <c r="J12" s="28">
        <v>11038</v>
      </c>
      <c r="K12" s="28">
        <v>11038</v>
      </c>
      <c r="L12" s="28">
        <v>11038</v>
      </c>
      <c r="M12" s="28">
        <v>11038</v>
      </c>
      <c r="N12" s="180">
        <f t="shared" si="0"/>
        <v>132457</v>
      </c>
    </row>
    <row r="13" spans="1:14" ht="13.5" thickTop="1">
      <c r="A13" s="49" t="s">
        <v>1350</v>
      </c>
      <c r="B13" s="50">
        <f t="shared" ref="B13:N13" si="1">SUM(B4:B12)</f>
        <v>30416</v>
      </c>
      <c r="C13" s="50">
        <f t="shared" si="1"/>
        <v>30416</v>
      </c>
      <c r="D13" s="50">
        <f t="shared" si="1"/>
        <v>30416</v>
      </c>
      <c r="E13" s="50">
        <f t="shared" si="1"/>
        <v>30417</v>
      </c>
      <c r="F13" s="50">
        <f t="shared" si="1"/>
        <v>30416</v>
      </c>
      <c r="G13" s="50">
        <f t="shared" si="1"/>
        <v>30416</v>
      </c>
      <c r="H13" s="50">
        <f t="shared" si="1"/>
        <v>30416</v>
      </c>
      <c r="I13" s="50">
        <f t="shared" si="1"/>
        <v>30417</v>
      </c>
      <c r="J13" s="50">
        <f t="shared" si="1"/>
        <v>30416</v>
      </c>
      <c r="K13" s="50">
        <f t="shared" si="1"/>
        <v>30417</v>
      </c>
      <c r="L13" s="50">
        <f t="shared" si="1"/>
        <v>30416</v>
      </c>
      <c r="M13" s="50">
        <f t="shared" si="1"/>
        <v>30418</v>
      </c>
      <c r="N13" s="50">
        <f t="shared" si="1"/>
        <v>364997</v>
      </c>
    </row>
    <row r="14" spans="1:14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 thickBot="1">
      <c r="A15" s="7" t="s">
        <v>1333</v>
      </c>
      <c r="B15" s="8" t="s">
        <v>1334</v>
      </c>
      <c r="C15" s="8" t="s">
        <v>1335</v>
      </c>
      <c r="D15" s="8" t="s">
        <v>1336</v>
      </c>
      <c r="E15" s="8" t="s">
        <v>1337</v>
      </c>
      <c r="F15" s="8" t="s">
        <v>1338</v>
      </c>
      <c r="G15" s="8" t="s">
        <v>1339</v>
      </c>
      <c r="H15" s="8" t="s">
        <v>1340</v>
      </c>
      <c r="I15" s="8" t="s">
        <v>1341</v>
      </c>
      <c r="J15" s="8" t="s">
        <v>1342</v>
      </c>
      <c r="K15" s="8" t="s">
        <v>1343</v>
      </c>
      <c r="L15" s="8" t="s">
        <v>1344</v>
      </c>
      <c r="M15" s="9" t="s">
        <v>1345</v>
      </c>
      <c r="N15" s="10" t="s">
        <v>1346</v>
      </c>
    </row>
    <row r="16" spans="1:14" ht="22.5">
      <c r="A16" s="37" t="s">
        <v>1347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3"/>
    </row>
    <row r="17" spans="1:14">
      <c r="A17" s="102" t="s">
        <v>1281</v>
      </c>
      <c r="B17" s="28">
        <v>2562</v>
      </c>
      <c r="C17" s="28">
        <v>2562</v>
      </c>
      <c r="D17" s="28">
        <v>2564</v>
      </c>
      <c r="E17" s="28">
        <v>2562</v>
      </c>
      <c r="F17" s="28">
        <v>2562</v>
      </c>
      <c r="G17" s="28">
        <v>2562</v>
      </c>
      <c r="H17" s="28">
        <v>2562</v>
      </c>
      <c r="I17" s="28">
        <v>2562</v>
      </c>
      <c r="J17" s="28">
        <v>2564</v>
      </c>
      <c r="K17" s="28">
        <v>2562</v>
      </c>
      <c r="L17" s="28">
        <v>2562</v>
      </c>
      <c r="M17" s="28">
        <v>2562</v>
      </c>
      <c r="N17" s="183">
        <f>SUM(B17:M17)</f>
        <v>30748</v>
      </c>
    </row>
    <row r="18" spans="1:14">
      <c r="A18" s="102" t="s">
        <v>1549</v>
      </c>
      <c r="B18" s="28">
        <v>618</v>
      </c>
      <c r="C18" s="28">
        <v>618</v>
      </c>
      <c r="D18" s="28">
        <v>618</v>
      </c>
      <c r="E18" s="28">
        <v>618</v>
      </c>
      <c r="F18" s="28">
        <v>618</v>
      </c>
      <c r="G18" s="28">
        <v>618</v>
      </c>
      <c r="H18" s="28">
        <v>618</v>
      </c>
      <c r="I18" s="28">
        <v>618</v>
      </c>
      <c r="J18" s="28">
        <v>618</v>
      </c>
      <c r="K18" s="28">
        <v>618</v>
      </c>
      <c r="L18" s="28">
        <v>618</v>
      </c>
      <c r="M18" s="181">
        <v>617</v>
      </c>
      <c r="N18" s="183">
        <f>SUM(B18:M18)</f>
        <v>7415</v>
      </c>
    </row>
    <row r="19" spans="1:14">
      <c r="A19" s="102" t="s">
        <v>1533</v>
      </c>
      <c r="B19" s="28">
        <v>500</v>
      </c>
      <c r="C19" s="28">
        <v>500</v>
      </c>
      <c r="D19" s="28">
        <v>13000</v>
      </c>
      <c r="E19" s="28">
        <v>500</v>
      </c>
      <c r="F19" s="28">
        <v>500</v>
      </c>
      <c r="G19" s="28">
        <v>500</v>
      </c>
      <c r="H19" s="28">
        <v>500</v>
      </c>
      <c r="I19" s="28">
        <v>500</v>
      </c>
      <c r="J19" s="28">
        <v>18000</v>
      </c>
      <c r="K19" s="28">
        <v>500</v>
      </c>
      <c r="L19" s="28">
        <v>500</v>
      </c>
      <c r="M19" s="181">
        <v>500</v>
      </c>
      <c r="N19" s="183">
        <f t="shared" ref="N19:N26" si="2">SUM(B19:M19)</f>
        <v>36000</v>
      </c>
    </row>
    <row r="20" spans="1:14" ht="29.25">
      <c r="A20" s="166" t="s">
        <v>102</v>
      </c>
      <c r="B20" s="28">
        <v>4048</v>
      </c>
      <c r="C20" s="28">
        <v>4049</v>
      </c>
      <c r="D20" s="28">
        <v>4048</v>
      </c>
      <c r="E20" s="28">
        <v>4049</v>
      </c>
      <c r="F20" s="28">
        <v>4048</v>
      </c>
      <c r="G20" s="28">
        <v>4049</v>
      </c>
      <c r="H20" s="28">
        <v>4048</v>
      </c>
      <c r="I20" s="28">
        <v>4049</v>
      </c>
      <c r="J20" s="28">
        <v>4048</v>
      </c>
      <c r="K20" s="28">
        <v>4049</v>
      </c>
      <c r="L20" s="28">
        <v>4048</v>
      </c>
      <c r="M20" s="28">
        <v>4048</v>
      </c>
      <c r="N20" s="183">
        <f t="shared" si="2"/>
        <v>48581</v>
      </c>
    </row>
    <row r="21" spans="1:14" ht="22.5">
      <c r="A21" s="102" t="s">
        <v>103</v>
      </c>
      <c r="B21" s="28">
        <v>6967</v>
      </c>
      <c r="C21" s="28">
        <v>6968</v>
      </c>
      <c r="D21" s="28">
        <v>6967</v>
      </c>
      <c r="E21" s="28">
        <v>6968</v>
      </c>
      <c r="F21" s="28">
        <v>6967</v>
      </c>
      <c r="G21" s="28">
        <v>6968</v>
      </c>
      <c r="H21" s="28">
        <v>6968</v>
      </c>
      <c r="I21" s="28">
        <v>6968</v>
      </c>
      <c r="J21" s="28">
        <v>6968</v>
      </c>
      <c r="K21" s="28">
        <v>6968</v>
      </c>
      <c r="L21" s="28">
        <v>6968</v>
      </c>
      <c r="M21" s="28">
        <v>6968</v>
      </c>
      <c r="N21" s="183">
        <f t="shared" si="2"/>
        <v>83613</v>
      </c>
    </row>
    <row r="22" spans="1:14" ht="22.5" customHeight="1">
      <c r="A22" s="166" t="s">
        <v>104</v>
      </c>
      <c r="B22" s="28"/>
      <c r="C22" s="28"/>
      <c r="D22" s="28"/>
      <c r="E22" s="28"/>
      <c r="F22" s="28"/>
      <c r="G22" s="28"/>
      <c r="H22" s="28"/>
      <c r="I22" s="28">
        <v>70</v>
      </c>
      <c r="J22" s="28"/>
      <c r="K22" s="28"/>
      <c r="L22" s="28"/>
      <c r="M22" s="181"/>
      <c r="N22" s="183">
        <f t="shared" si="2"/>
        <v>70</v>
      </c>
    </row>
    <row r="23" spans="1:14" ht="22.5">
      <c r="A23" s="102" t="s">
        <v>105</v>
      </c>
      <c r="B23" s="28"/>
      <c r="C23" s="28"/>
      <c r="D23" s="28">
        <v>36274</v>
      </c>
      <c r="E23" s="28"/>
      <c r="F23" s="28"/>
      <c r="G23" s="28"/>
      <c r="H23" s="28"/>
      <c r="I23" s="28"/>
      <c r="J23" s="28"/>
      <c r="K23" s="28"/>
      <c r="L23" s="28"/>
      <c r="M23" s="28"/>
      <c r="N23" s="183">
        <f t="shared" si="2"/>
        <v>36274</v>
      </c>
    </row>
    <row r="24" spans="1:14">
      <c r="A24" s="102" t="s">
        <v>1452</v>
      </c>
      <c r="B24" s="28">
        <v>8331</v>
      </c>
      <c r="C24" s="28">
        <v>8331</v>
      </c>
      <c r="D24" s="28">
        <v>8332</v>
      </c>
      <c r="E24" s="28">
        <v>8331</v>
      </c>
      <c r="F24" s="28">
        <v>8331</v>
      </c>
      <c r="G24" s="28">
        <v>8331</v>
      </c>
      <c r="H24" s="28">
        <v>8332</v>
      </c>
      <c r="I24" s="28">
        <v>8331</v>
      </c>
      <c r="J24" s="28">
        <v>8331</v>
      </c>
      <c r="K24" s="28">
        <v>8332</v>
      </c>
      <c r="L24" s="28">
        <v>8332</v>
      </c>
      <c r="M24" s="181">
        <v>8332</v>
      </c>
      <c r="N24" s="183">
        <f t="shared" si="2"/>
        <v>99977</v>
      </c>
    </row>
    <row r="25" spans="1:14" ht="22.5">
      <c r="A25" s="102" t="s">
        <v>1633</v>
      </c>
      <c r="B25" s="28">
        <v>1310</v>
      </c>
      <c r="C25" s="28">
        <v>1310</v>
      </c>
      <c r="D25" s="28">
        <v>1310</v>
      </c>
      <c r="E25" s="28">
        <v>1310</v>
      </c>
      <c r="F25" s="28">
        <v>1310</v>
      </c>
      <c r="G25" s="28">
        <v>1310</v>
      </c>
      <c r="H25" s="28">
        <v>1311</v>
      </c>
      <c r="I25" s="28">
        <v>1310</v>
      </c>
      <c r="J25" s="28">
        <v>1310</v>
      </c>
      <c r="K25" s="28">
        <v>1310</v>
      </c>
      <c r="L25" s="28">
        <v>1310</v>
      </c>
      <c r="M25" s="28">
        <v>1310</v>
      </c>
      <c r="N25" s="183">
        <f t="shared" si="2"/>
        <v>15721</v>
      </c>
    </row>
    <row r="26" spans="1:14" ht="23.25" thickBot="1">
      <c r="A26" s="182" t="s">
        <v>1353</v>
      </c>
      <c r="B26" s="28">
        <v>550</v>
      </c>
      <c r="C26" s="28">
        <v>549</v>
      </c>
      <c r="D26" s="28">
        <v>550</v>
      </c>
      <c r="E26" s="28">
        <v>550</v>
      </c>
      <c r="F26" s="28">
        <v>550</v>
      </c>
      <c r="G26" s="28">
        <v>550</v>
      </c>
      <c r="H26" s="28">
        <v>550</v>
      </c>
      <c r="I26" s="28">
        <v>550</v>
      </c>
      <c r="J26" s="28">
        <v>550</v>
      </c>
      <c r="K26" s="28">
        <v>550</v>
      </c>
      <c r="L26" s="28">
        <v>550</v>
      </c>
      <c r="M26" s="181">
        <v>549</v>
      </c>
      <c r="N26" s="183">
        <f t="shared" si="2"/>
        <v>6598</v>
      </c>
    </row>
    <row r="27" spans="1:14" ht="13.5" thickTop="1">
      <c r="A27" s="49" t="s">
        <v>1350</v>
      </c>
      <c r="B27" s="50">
        <f>SUM(B17:B26)</f>
        <v>24886</v>
      </c>
      <c r="C27" s="50">
        <f t="shared" ref="C27:N27" si="3">SUM(C17:C26)</f>
        <v>24887</v>
      </c>
      <c r="D27" s="50">
        <f t="shared" si="3"/>
        <v>73663</v>
      </c>
      <c r="E27" s="50">
        <f t="shared" si="3"/>
        <v>24888</v>
      </c>
      <c r="F27" s="50">
        <f t="shared" si="3"/>
        <v>24886</v>
      </c>
      <c r="G27" s="50">
        <f t="shared" si="3"/>
        <v>24888</v>
      </c>
      <c r="H27" s="50">
        <f t="shared" si="3"/>
        <v>24889</v>
      </c>
      <c r="I27" s="50">
        <f t="shared" si="3"/>
        <v>24958</v>
      </c>
      <c r="J27" s="50">
        <f t="shared" si="3"/>
        <v>42389</v>
      </c>
      <c r="K27" s="50">
        <f t="shared" si="3"/>
        <v>24889</v>
      </c>
      <c r="L27" s="50">
        <f t="shared" si="3"/>
        <v>24888</v>
      </c>
      <c r="M27" s="50">
        <f t="shared" si="3"/>
        <v>24886</v>
      </c>
      <c r="N27" s="50">
        <f t="shared" si="3"/>
        <v>364997</v>
      </c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1">
    <mergeCell ref="D1:I1"/>
  </mergeCells>
  <phoneticPr fontId="0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>
      <selection activeCell="F12" sqref="F12"/>
    </sheetView>
  </sheetViews>
  <sheetFormatPr defaultRowHeight="12.75"/>
  <cols>
    <col min="1" max="1" width="5.28515625" customWidth="1"/>
    <col min="2" max="2" width="20.28515625" customWidth="1"/>
    <col min="3" max="3" width="21.5703125" customWidth="1"/>
    <col min="4" max="4" width="11.85546875" customWidth="1"/>
    <col min="5" max="5" width="11.140625" customWidth="1"/>
    <col min="6" max="6" width="41.7109375" customWidth="1"/>
  </cols>
  <sheetData>
    <row r="2" spans="1:6">
      <c r="F2" s="16" t="s">
        <v>1393</v>
      </c>
    </row>
    <row r="5" spans="1:6">
      <c r="B5" s="17" t="s">
        <v>1456</v>
      </c>
      <c r="C5" s="17"/>
      <c r="D5" s="17"/>
      <c r="E5" s="17"/>
      <c r="F5" s="17"/>
    </row>
    <row r="6" spans="1:6">
      <c r="F6" s="18" t="s">
        <v>1317</v>
      </c>
    </row>
    <row r="7" spans="1:6" ht="48">
      <c r="A7" s="14"/>
      <c r="B7" s="19" t="s">
        <v>1394</v>
      </c>
      <c r="C7" s="19" t="s">
        <v>1395</v>
      </c>
      <c r="D7" s="20" t="s">
        <v>93</v>
      </c>
      <c r="E7" s="20" t="s">
        <v>94</v>
      </c>
      <c r="F7" s="20" t="s">
        <v>1396</v>
      </c>
    </row>
    <row r="8" spans="1:6" ht="96">
      <c r="A8" s="134" t="s">
        <v>1397</v>
      </c>
      <c r="B8" s="103" t="s">
        <v>1399</v>
      </c>
      <c r="C8" s="133" t="s">
        <v>1400</v>
      </c>
      <c r="D8" s="104">
        <v>36274</v>
      </c>
      <c r="E8" s="104">
        <v>36274</v>
      </c>
      <c r="F8" s="103" t="s">
        <v>95</v>
      </c>
    </row>
    <row r="9" spans="1:6" ht="96">
      <c r="A9" s="134" t="s">
        <v>1398</v>
      </c>
      <c r="B9" s="103" t="s">
        <v>1402</v>
      </c>
      <c r="C9" s="103" t="s">
        <v>1403</v>
      </c>
      <c r="D9" s="104">
        <v>3500</v>
      </c>
      <c r="E9" s="104">
        <v>3500</v>
      </c>
      <c r="F9" s="103" t="s">
        <v>97</v>
      </c>
    </row>
    <row r="10" spans="1:6" ht="84">
      <c r="A10" s="134" t="s">
        <v>1401</v>
      </c>
      <c r="B10" s="103" t="s">
        <v>1419</v>
      </c>
      <c r="C10" s="103" t="s">
        <v>1420</v>
      </c>
      <c r="D10" s="104">
        <v>7487</v>
      </c>
      <c r="E10" s="104">
        <v>7487</v>
      </c>
      <c r="F10" s="103" t="s">
        <v>96</v>
      </c>
    </row>
    <row r="11" spans="1:6">
      <c r="A11" s="14"/>
      <c r="B11" s="21" t="s">
        <v>1350</v>
      </c>
      <c r="C11" s="21"/>
      <c r="D11" s="22">
        <f>SUM(D8:D10)</f>
        <v>47261</v>
      </c>
      <c r="E11" s="22">
        <f>SUM(E8:E10)</f>
        <v>47261</v>
      </c>
      <c r="F11" s="19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opLeftCell="A7" workbookViewId="0">
      <selection activeCell="C15" sqref="C15"/>
    </sheetView>
  </sheetViews>
  <sheetFormatPr defaultRowHeight="12.75"/>
  <cols>
    <col min="1" max="1" width="16" customWidth="1"/>
    <col min="2" max="2" width="25.140625" customWidth="1"/>
    <col min="3" max="5" width="12.140625" style="12" customWidth="1"/>
    <col min="6" max="6" width="10.85546875" customWidth="1"/>
  </cols>
  <sheetData>
    <row r="1" spans="1:6">
      <c r="F1" s="74" t="s">
        <v>1523</v>
      </c>
    </row>
    <row r="2" spans="1:6">
      <c r="A2" s="291" t="s">
        <v>1522</v>
      </c>
      <c r="B2" s="291"/>
      <c r="C2" s="291"/>
      <c r="D2" s="291"/>
      <c r="E2" s="291"/>
      <c r="F2" s="291"/>
    </row>
    <row r="4" spans="1:6">
      <c r="A4" s="336" t="s">
        <v>1512</v>
      </c>
      <c r="B4" s="337"/>
      <c r="C4" s="337"/>
      <c r="D4" s="337"/>
      <c r="E4" s="337"/>
      <c r="F4" s="338"/>
    </row>
    <row r="5" spans="1:6" ht="22.5">
      <c r="A5" s="126" t="s">
        <v>1513</v>
      </c>
      <c r="B5" s="23" t="s">
        <v>1333</v>
      </c>
      <c r="C5" s="126" t="s">
        <v>81</v>
      </c>
      <c r="D5" s="126" t="s">
        <v>82</v>
      </c>
      <c r="E5" s="126" t="s">
        <v>1350</v>
      </c>
      <c r="F5" s="23" t="s">
        <v>1514</v>
      </c>
    </row>
    <row r="6" spans="1:6" ht="56.25">
      <c r="A6" s="23" t="s">
        <v>1515</v>
      </c>
      <c r="B6" s="126" t="s">
        <v>1516</v>
      </c>
      <c r="C6" s="32">
        <v>36273837</v>
      </c>
      <c r="D6" s="32"/>
      <c r="E6" s="32">
        <f>SUM(C6:D6)</f>
        <v>36273837</v>
      </c>
      <c r="F6" s="127">
        <v>41729</v>
      </c>
    </row>
    <row r="7" spans="1:6" ht="123.75">
      <c r="A7" s="126" t="s">
        <v>86</v>
      </c>
      <c r="B7" s="102" t="s">
        <v>1636</v>
      </c>
      <c r="C7" s="32">
        <v>76323705</v>
      </c>
      <c r="D7" s="32">
        <v>14518777</v>
      </c>
      <c r="E7" s="32">
        <f>SUM(C7:D7)</f>
        <v>90842482</v>
      </c>
      <c r="F7" s="128">
        <v>41698</v>
      </c>
    </row>
    <row r="8" spans="1:6">
      <c r="A8" s="339" t="s">
        <v>1517</v>
      </c>
      <c r="B8" s="339"/>
      <c r="C8" s="24">
        <f>SUM(C6:C7)</f>
        <v>112597542</v>
      </c>
      <c r="D8" s="24">
        <f>SUM(D6:D7)</f>
        <v>14518777</v>
      </c>
      <c r="E8" s="24">
        <f>SUM(E6:E7)</f>
        <v>127116319</v>
      </c>
      <c r="F8" s="23"/>
    </row>
    <row r="11" spans="1:6">
      <c r="A11" s="340" t="s">
        <v>1518</v>
      </c>
      <c r="B11" s="340"/>
      <c r="C11" s="340"/>
      <c r="D11" s="340"/>
      <c r="E11" s="340"/>
      <c r="F11" s="340"/>
    </row>
    <row r="12" spans="1:6" ht="22.5">
      <c r="A12" s="126" t="s">
        <v>84</v>
      </c>
      <c r="B12" s="23" t="s">
        <v>1333</v>
      </c>
      <c r="C12" s="126" t="s">
        <v>81</v>
      </c>
      <c r="D12" s="126" t="s">
        <v>88</v>
      </c>
      <c r="E12" s="126" t="s">
        <v>89</v>
      </c>
      <c r="F12" s="23" t="s">
        <v>1514</v>
      </c>
    </row>
    <row r="13" spans="1:6" ht="78.75">
      <c r="A13" s="126" t="s">
        <v>83</v>
      </c>
      <c r="B13" s="126" t="s">
        <v>1519</v>
      </c>
      <c r="C13" s="32">
        <v>3066007</v>
      </c>
      <c r="D13" s="32">
        <v>-593884</v>
      </c>
      <c r="E13" s="32">
        <f>SUM(C13:D13)</f>
        <v>2472123</v>
      </c>
      <c r="F13" s="127">
        <v>48153</v>
      </c>
    </row>
    <row r="14" spans="1:6" ht="78.75">
      <c r="A14" s="126" t="s">
        <v>85</v>
      </c>
      <c r="B14" s="126" t="s">
        <v>1520</v>
      </c>
      <c r="C14" s="32">
        <v>9913811</v>
      </c>
      <c r="D14" s="32">
        <v>-1612298</v>
      </c>
      <c r="E14" s="32">
        <f>SUM(C14:D14)</f>
        <v>8301513</v>
      </c>
      <c r="F14" s="127">
        <v>44834</v>
      </c>
    </row>
    <row r="15" spans="1:6">
      <c r="A15" s="332" t="s">
        <v>1521</v>
      </c>
      <c r="B15" s="333"/>
      <c r="C15" s="24">
        <f>SUM(C13:C14)</f>
        <v>12979818</v>
      </c>
      <c r="D15" s="24">
        <f>SUM(D13:D14)</f>
        <v>-2206182</v>
      </c>
      <c r="E15" s="24">
        <f>SUM(E13:E14)</f>
        <v>10773636</v>
      </c>
      <c r="F15" s="24"/>
    </row>
    <row r="17" spans="1:5">
      <c r="A17" s="334" t="s">
        <v>87</v>
      </c>
      <c r="B17" s="335"/>
      <c r="C17" s="335"/>
      <c r="D17" s="335"/>
      <c r="E17" s="129">
        <f>SUM(E8+C15)</f>
        <v>140096137</v>
      </c>
    </row>
  </sheetData>
  <mergeCells count="6">
    <mergeCell ref="A15:B15"/>
    <mergeCell ref="A17:D17"/>
    <mergeCell ref="A2:F2"/>
    <mergeCell ref="A4:F4"/>
    <mergeCell ref="A8:B8"/>
    <mergeCell ref="A11:F11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15" sqref="E15"/>
    </sheetView>
  </sheetViews>
  <sheetFormatPr defaultRowHeight="12.75"/>
  <cols>
    <col min="1" max="1" width="9.42578125" customWidth="1"/>
    <col min="2" max="2" width="41.85546875" customWidth="1"/>
    <col min="3" max="5" width="9.140625" style="75"/>
  </cols>
  <sheetData>
    <row r="1" spans="1:5">
      <c r="E1" s="174" t="s">
        <v>115</v>
      </c>
    </row>
    <row r="2" spans="1:5" ht="25.5" customHeight="1">
      <c r="A2" s="346" t="s">
        <v>1254</v>
      </c>
      <c r="B2" s="346"/>
      <c r="C2" s="346"/>
      <c r="D2" s="346"/>
      <c r="E2" s="346"/>
    </row>
    <row r="4" spans="1:5">
      <c r="E4" s="75" t="s">
        <v>1253</v>
      </c>
    </row>
    <row r="5" spans="1:5">
      <c r="A5" s="341" t="s">
        <v>1421</v>
      </c>
      <c r="B5" s="341" t="s">
        <v>1333</v>
      </c>
      <c r="C5" s="343" t="s">
        <v>1431</v>
      </c>
      <c r="D5" s="344"/>
      <c r="E5" s="345"/>
    </row>
    <row r="6" spans="1:5">
      <c r="A6" s="342"/>
      <c r="B6" s="342"/>
      <c r="C6" s="25" t="s">
        <v>1246</v>
      </c>
      <c r="D6" s="25" t="s">
        <v>1247</v>
      </c>
      <c r="E6" s="25" t="s">
        <v>1248</v>
      </c>
    </row>
    <row r="7" spans="1:5">
      <c r="A7" s="135"/>
      <c r="B7" s="123" t="s">
        <v>1408</v>
      </c>
      <c r="C7" s="25"/>
      <c r="D7" s="25"/>
      <c r="E7" s="25"/>
    </row>
    <row r="8" spans="1:5">
      <c r="A8" s="90" t="s">
        <v>1450</v>
      </c>
      <c r="B8" s="90" t="s">
        <v>1411</v>
      </c>
      <c r="C8" s="25">
        <v>76600</v>
      </c>
      <c r="D8" s="25">
        <v>78900</v>
      </c>
      <c r="E8" s="25">
        <v>81300</v>
      </c>
    </row>
    <row r="9" spans="1:5">
      <c r="A9" s="90" t="s">
        <v>1434</v>
      </c>
      <c r="B9" s="90" t="s">
        <v>1435</v>
      </c>
      <c r="C9" s="25">
        <f>SUM(C8)*0.27</f>
        <v>20682</v>
      </c>
      <c r="D9" s="25">
        <f>SUM(D8)*0.27</f>
        <v>21303</v>
      </c>
      <c r="E9" s="25">
        <f>SUM(E8)*0.27</f>
        <v>21951</v>
      </c>
    </row>
    <row r="10" spans="1:5">
      <c r="A10" s="90" t="s">
        <v>1535</v>
      </c>
      <c r="B10" s="90" t="s">
        <v>1626</v>
      </c>
      <c r="C10" s="25">
        <v>38400</v>
      </c>
      <c r="D10" s="25">
        <v>38800</v>
      </c>
      <c r="E10" s="25">
        <v>39200</v>
      </c>
    </row>
    <row r="11" spans="1:5">
      <c r="A11" s="90" t="s">
        <v>1556</v>
      </c>
      <c r="B11" s="90" t="s">
        <v>1555</v>
      </c>
      <c r="C11" s="25">
        <v>0</v>
      </c>
      <c r="D11" s="25">
        <v>0</v>
      </c>
      <c r="E11" s="25">
        <v>0</v>
      </c>
    </row>
    <row r="12" spans="1:5">
      <c r="A12" s="90" t="s">
        <v>1585</v>
      </c>
      <c r="B12" s="90" t="s">
        <v>1586</v>
      </c>
      <c r="C12" s="25">
        <v>960</v>
      </c>
      <c r="D12" s="25">
        <v>960</v>
      </c>
      <c r="E12" s="25">
        <v>960</v>
      </c>
    </row>
    <row r="13" spans="1:5">
      <c r="A13" s="90" t="s">
        <v>1594</v>
      </c>
      <c r="B13" s="90" t="s">
        <v>1595</v>
      </c>
      <c r="C13" s="25">
        <v>880</v>
      </c>
      <c r="D13" s="25">
        <v>906</v>
      </c>
      <c r="E13" s="25">
        <v>933</v>
      </c>
    </row>
    <row r="14" spans="1:5">
      <c r="A14" s="90" t="s">
        <v>1596</v>
      </c>
      <c r="B14" s="90" t="s">
        <v>1307</v>
      </c>
      <c r="C14" s="25">
        <v>11000</v>
      </c>
      <c r="D14" s="25">
        <v>11000</v>
      </c>
      <c r="E14" s="25">
        <v>11000</v>
      </c>
    </row>
    <row r="15" spans="1:5">
      <c r="A15" s="90" t="s">
        <v>1571</v>
      </c>
      <c r="B15" s="91" t="s">
        <v>1249</v>
      </c>
      <c r="C15" s="25"/>
      <c r="D15" s="25"/>
      <c r="E15" s="25"/>
    </row>
    <row r="16" spans="1:5">
      <c r="A16" s="90" t="s">
        <v>1570</v>
      </c>
      <c r="B16" s="91" t="s">
        <v>1252</v>
      </c>
      <c r="C16" s="25">
        <v>2206</v>
      </c>
      <c r="D16" s="25">
        <v>2206</v>
      </c>
      <c r="E16" s="25">
        <v>2206</v>
      </c>
    </row>
    <row r="17" spans="1:5">
      <c r="A17" s="90" t="s">
        <v>1592</v>
      </c>
      <c r="B17" s="91" t="s">
        <v>1417</v>
      </c>
      <c r="C17" s="25">
        <v>3500</v>
      </c>
      <c r="D17" s="25"/>
      <c r="E17" s="25"/>
    </row>
    <row r="18" spans="1:5">
      <c r="A18" s="90" t="s">
        <v>1556</v>
      </c>
      <c r="B18" s="91" t="s">
        <v>1250</v>
      </c>
      <c r="C18" s="25">
        <v>79200</v>
      </c>
      <c r="D18" s="25">
        <v>81000</v>
      </c>
      <c r="E18" s="25">
        <v>82000</v>
      </c>
    </row>
    <row r="19" spans="1:5">
      <c r="A19" s="153"/>
      <c r="B19" s="160" t="s">
        <v>1409</v>
      </c>
      <c r="C19" s="157">
        <f>SUM(C8:C18)</f>
        <v>233428</v>
      </c>
      <c r="D19" s="157">
        <f>SUM(D8:D18)</f>
        <v>235075</v>
      </c>
      <c r="E19" s="157">
        <f>SUM(E8:E18)</f>
        <v>239550</v>
      </c>
    </row>
    <row r="20" spans="1:5">
      <c r="A20" s="90"/>
      <c r="B20" s="123" t="s">
        <v>1410</v>
      </c>
      <c r="C20" s="25"/>
      <c r="D20" s="25"/>
      <c r="E20" s="25"/>
    </row>
    <row r="21" spans="1:5">
      <c r="A21" s="90" t="s">
        <v>1629</v>
      </c>
      <c r="B21" s="90" t="s">
        <v>1281</v>
      </c>
      <c r="C21" s="25">
        <v>30000</v>
      </c>
      <c r="D21" s="25">
        <v>33600</v>
      </c>
      <c r="E21" s="25">
        <v>33600</v>
      </c>
    </row>
    <row r="22" spans="1:5">
      <c r="A22" s="90" t="s">
        <v>1440</v>
      </c>
      <c r="B22" s="90" t="s">
        <v>1549</v>
      </c>
      <c r="C22" s="25">
        <v>3000</v>
      </c>
      <c r="D22" s="25">
        <v>3000</v>
      </c>
      <c r="E22" s="25">
        <v>3000</v>
      </c>
    </row>
    <row r="23" spans="1:5">
      <c r="A23" s="90" t="s">
        <v>1597</v>
      </c>
      <c r="B23" s="90" t="s">
        <v>1533</v>
      </c>
      <c r="C23" s="25">
        <v>36000</v>
      </c>
      <c r="D23" s="25">
        <v>36000</v>
      </c>
      <c r="E23" s="25">
        <v>36000</v>
      </c>
    </row>
    <row r="24" spans="1:5" ht="19.5">
      <c r="A24" s="90" t="s">
        <v>1600</v>
      </c>
      <c r="B24" s="166" t="s">
        <v>1601</v>
      </c>
      <c r="C24" s="25">
        <v>63000</v>
      </c>
      <c r="D24" s="25">
        <v>63000</v>
      </c>
      <c r="E24" s="25">
        <v>63000</v>
      </c>
    </row>
    <row r="25" spans="1:5">
      <c r="A25" s="90" t="s">
        <v>1552</v>
      </c>
      <c r="B25" s="102" t="s">
        <v>1631</v>
      </c>
      <c r="C25" s="25">
        <v>37078</v>
      </c>
      <c r="D25" s="25">
        <v>37078</v>
      </c>
      <c r="E25" s="25">
        <v>37078</v>
      </c>
    </row>
    <row r="26" spans="1:5">
      <c r="A26" s="90" t="s">
        <v>1613</v>
      </c>
      <c r="B26" s="90" t="s">
        <v>1630</v>
      </c>
      <c r="C26" s="25"/>
      <c r="D26" s="25"/>
      <c r="E26" s="25"/>
    </row>
    <row r="27" spans="1:5">
      <c r="A27" s="90" t="s">
        <v>1587</v>
      </c>
      <c r="B27" s="166" t="s">
        <v>1588</v>
      </c>
      <c r="C27" s="25">
        <v>5000</v>
      </c>
      <c r="D27" s="25">
        <v>5000</v>
      </c>
      <c r="E27" s="25">
        <v>5000</v>
      </c>
    </row>
    <row r="28" spans="1:5">
      <c r="A28" s="90" t="s">
        <v>1591</v>
      </c>
      <c r="B28" s="91" t="s">
        <v>1415</v>
      </c>
      <c r="C28" s="25">
        <v>3463</v>
      </c>
      <c r="D28" s="25"/>
      <c r="E28" s="25"/>
    </row>
    <row r="29" spans="1:5">
      <c r="A29" s="90" t="s">
        <v>92</v>
      </c>
      <c r="B29" s="91" t="s">
        <v>1304</v>
      </c>
      <c r="C29" s="25">
        <v>6000</v>
      </c>
      <c r="D29" s="25">
        <v>6000</v>
      </c>
      <c r="E29" s="25">
        <v>6000</v>
      </c>
    </row>
    <row r="30" spans="1:5">
      <c r="A30" s="90" t="s">
        <v>1573</v>
      </c>
      <c r="B30" s="91" t="s">
        <v>1416</v>
      </c>
      <c r="C30" s="25"/>
      <c r="D30" s="25"/>
      <c r="E30" s="25"/>
    </row>
    <row r="31" spans="1:5">
      <c r="A31" s="90" t="s">
        <v>1557</v>
      </c>
      <c r="B31" s="91" t="s">
        <v>1558</v>
      </c>
      <c r="C31" s="25">
        <v>687</v>
      </c>
      <c r="D31" s="25">
        <v>1217</v>
      </c>
      <c r="E31" s="25">
        <v>4662</v>
      </c>
    </row>
    <row r="32" spans="1:5">
      <c r="A32" s="90" t="s">
        <v>1455</v>
      </c>
      <c r="B32" s="91" t="s">
        <v>1251</v>
      </c>
      <c r="C32" s="25">
        <v>49200</v>
      </c>
      <c r="D32" s="25">
        <v>50180</v>
      </c>
      <c r="E32" s="25">
        <v>51210</v>
      </c>
    </row>
    <row r="33" spans="1:5">
      <c r="A33" s="173"/>
      <c r="B33" s="160" t="s">
        <v>1413</v>
      </c>
      <c r="C33" s="157">
        <f>SUM(C21:C32)</f>
        <v>233428</v>
      </c>
      <c r="D33" s="157">
        <f>SUM(D21:D32)</f>
        <v>235075</v>
      </c>
      <c r="E33" s="157">
        <f>SUM(E21:E32)</f>
        <v>239550</v>
      </c>
    </row>
  </sheetData>
  <mergeCells count="4">
    <mergeCell ref="A5:A6"/>
    <mergeCell ref="B5:B6"/>
    <mergeCell ref="C5:E5"/>
    <mergeCell ref="A2:E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Mártély összesen</vt:lpstr>
      <vt:lpstr>1. melléklet - Önkormányzat</vt:lpstr>
      <vt:lpstr>2. sz. melléklet - Gondozási Kp</vt:lpstr>
      <vt:lpstr>3. sz. melléklet - ÁMK</vt:lpstr>
      <vt:lpstr>4. sz. melléklet - Normatíva</vt:lpstr>
      <vt:lpstr>Előirányzat felhasználás</vt:lpstr>
      <vt:lpstr>Pályázatok</vt:lpstr>
      <vt:lpstr>Hitelek</vt:lpstr>
      <vt:lpstr>Gördített tervezet</vt:lpstr>
      <vt:lpstr>MÁK határozat</vt:lpstr>
      <vt:lpstr>Mártély ingatlan vagyon</vt:lpstr>
      <vt:lpstr>'1. melléklet - Önkormányzat'!Nyomtatási_cím</vt:lpstr>
      <vt:lpstr>'2. sz. melléklet - Gondozási Kp'!Nyomtatási_cím</vt:lpstr>
      <vt:lpstr>'3. sz. melléklet - ÁMK'!Nyomtatási_cím</vt:lpstr>
      <vt:lpstr>'4. sz. melléklet - Normatíva'!Nyomtatási_cím</vt:lpstr>
      <vt:lpstr>'Mártély összesen'!Nyomtatási_cím</vt:lpstr>
      <vt:lpstr>'1. melléklet - Önkormányzat'!Nyomtatási_terület</vt:lpstr>
      <vt:lpstr>'2. sz. melléklet - Gondozási Kp'!Nyomtatási_terület</vt:lpstr>
      <vt:lpstr>'3. sz. melléklet - ÁMK'!Nyomtatási_terület</vt:lpstr>
      <vt:lpstr>'4. sz. melléklet - Normatíva'!Nyomtatási_terület</vt:lpstr>
      <vt:lpstr>'Mártély összesen'!Nyomtatási_terület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koszonebe</dc:creator>
  <cp:lastModifiedBy>Farkas Georgina</cp:lastModifiedBy>
  <cp:lastPrinted>2015-02-24T13:37:25Z</cp:lastPrinted>
  <dcterms:created xsi:type="dcterms:W3CDTF">2013-05-30T07:48:18Z</dcterms:created>
  <dcterms:modified xsi:type="dcterms:W3CDTF">2015-02-24T13:44:38Z</dcterms:modified>
</cp:coreProperties>
</file>